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V:\Cook County Consolidated Plan\drafts\Public_Comment_draft\"/>
    </mc:Choice>
  </mc:AlternateContent>
  <xr:revisionPtr revIDLastSave="0" documentId="13_ncr:1_{24F572AB-C9FF-45FE-96E0-F43AEA72DBC4}" xr6:coauthVersionLast="45" xr6:coauthVersionMax="45" xr10:uidLastSave="{00000000-0000-0000-0000-000000000000}"/>
  <bookViews>
    <workbookView xWindow="28680" yWindow="-120" windowWidth="29040" windowHeight="15840" tabRatio="790" firstSheet="9" activeTab="25" xr2:uid="{00000000-000D-0000-FFFF-FFFF00000000}"/>
  </bookViews>
  <sheets>
    <sheet name="CHAS - Chicago" sheetId="23" r:id="rId1"/>
    <sheet name="CHAS - Cook Co" sheetId="22" r:id="rId2"/>
    <sheet name="CHAS" sheetId="18" r:id="rId3"/>
    <sheet name="ACS 2017 Chicago" sheetId="25" r:id="rId4"/>
    <sheet name="ACS 2017 Cook Co" sheetId="24" r:id="rId5"/>
    <sheet name="ACS 2017" sheetId="19" r:id="rId6"/>
    <sheet name="ACS 2010 Chicago" sheetId="27" r:id="rId7"/>
    <sheet name="ACS 2010 Cook Co" sheetId="26" r:id="rId8"/>
    <sheet name="ACS 2010" sheetId="20" r:id="rId9"/>
    <sheet name="LODES 2015 Chicago" sheetId="29" r:id="rId10"/>
    <sheet name="LODES 2015 Cook Co" sheetId="28" r:id="rId11"/>
    <sheet name="LODES 2015" sheetId="21" r:id="rId12"/>
    <sheet name="NA-10" sheetId="1" r:id="rId13"/>
    <sheet name="NA-15" sheetId="2" r:id="rId14"/>
    <sheet name="NA-20" sheetId="3" r:id="rId15"/>
    <sheet name="NA-25" sheetId="4" r:id="rId16"/>
    <sheet name="NA-35" sheetId="5" r:id="rId17"/>
    <sheet name="NA-40" sheetId="6" r:id="rId18"/>
    <sheet name="NA-45" sheetId="12" r:id="rId19"/>
    <sheet name="MA-10" sheetId="7" r:id="rId20"/>
    <sheet name="MA-15" sheetId="8" r:id="rId21"/>
    <sheet name="MA-20" sheetId="9" r:id="rId22"/>
    <sheet name="MA-25" sheetId="10" r:id="rId23"/>
    <sheet name="MA-30" sheetId="11" r:id="rId24"/>
    <sheet name="MA-35" sheetId="13" r:id="rId25"/>
    <sheet name="MA-45" sheetId="14" r:id="rId26"/>
  </sheets>
  <definedNames>
    <definedName name="_xlnm._FilterDatabase" localSheetId="5" hidden="1">'ACS 2017'!$A$1:$F$388</definedName>
    <definedName name="_xlnm._FilterDatabase" localSheetId="3" hidden="1">'ACS 2017 Chicago'!$A$1:$F$388</definedName>
    <definedName name="_xlnm._FilterDatabase" localSheetId="4" hidden="1">'ACS 2017 Cook Co'!$A$1:$F$388</definedName>
    <definedName name="_xlnm._FilterDatabase" localSheetId="2" hidden="1">CHAS!$A$1:$J$2762</definedName>
    <definedName name="_xlnm._FilterDatabase" localSheetId="0" hidden="1">'CHAS - Chicago'!$A$1:$J$2762</definedName>
    <definedName name="_xlnm._FilterDatabase" localSheetId="1" hidden="1">'CHAS - Cook Co'!$A$1:$J$2762</definedName>
    <definedName name="_xlnm._FilterDatabase" localSheetId="21" hidden="1">'MA-20'!$A$15:$E$23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3" i="1" l="1"/>
  <c r="I83" i="1"/>
  <c r="H83" i="1"/>
  <c r="G83" i="1"/>
  <c r="E83" i="1"/>
  <c r="C83" i="1"/>
  <c r="D83" i="1"/>
  <c r="B83" i="1"/>
  <c r="D38" i="9"/>
  <c r="D36" i="9"/>
  <c r="I11" i="11" l="1"/>
  <c r="J11" i="11"/>
  <c r="B30" i="6"/>
  <c r="D953" i="18"/>
  <c r="D1084" i="18"/>
  <c r="B12" i="1"/>
  <c r="D670" i="18"/>
  <c r="D691" i="18"/>
  <c r="D712" i="18"/>
  <c r="D734" i="18"/>
  <c r="D2" i="18"/>
  <c r="D3" i="18"/>
  <c r="D4" i="18"/>
  <c r="D5" i="18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168" i="18"/>
  <c r="D169" i="18"/>
  <c r="D170" i="18"/>
  <c r="D171" i="18"/>
  <c r="D172" i="18"/>
  <c r="D173" i="18"/>
  <c r="D174" i="18"/>
  <c r="D175" i="18"/>
  <c r="D176" i="18"/>
  <c r="D177" i="18"/>
  <c r="D178" i="18"/>
  <c r="D179" i="18"/>
  <c r="D180" i="18"/>
  <c r="D181" i="18"/>
  <c r="D182" i="18"/>
  <c r="D183" i="18"/>
  <c r="D184" i="18"/>
  <c r="D185" i="18"/>
  <c r="D186" i="18"/>
  <c r="D187" i="18"/>
  <c r="D188" i="18"/>
  <c r="D189" i="18"/>
  <c r="D190" i="18"/>
  <c r="D191" i="18"/>
  <c r="D192" i="18"/>
  <c r="D193" i="18"/>
  <c r="D194" i="18"/>
  <c r="D195" i="18"/>
  <c r="D196" i="18"/>
  <c r="D197" i="18"/>
  <c r="D198" i="18"/>
  <c r="D199" i="18"/>
  <c r="D200" i="18"/>
  <c r="D201" i="18"/>
  <c r="D202" i="18"/>
  <c r="D203" i="18"/>
  <c r="D204" i="18"/>
  <c r="D205" i="18"/>
  <c r="D206" i="18"/>
  <c r="D207" i="18"/>
  <c r="D208" i="18"/>
  <c r="D209" i="18"/>
  <c r="D210" i="18"/>
  <c r="D211" i="18"/>
  <c r="D212" i="18"/>
  <c r="D213" i="18"/>
  <c r="D214" i="18"/>
  <c r="D215" i="18"/>
  <c r="D216" i="18"/>
  <c r="D217" i="18"/>
  <c r="D218" i="18"/>
  <c r="D219" i="18"/>
  <c r="D220" i="18"/>
  <c r="D221" i="18"/>
  <c r="D222" i="18"/>
  <c r="D223" i="18"/>
  <c r="D224" i="18"/>
  <c r="D225" i="18"/>
  <c r="D226" i="18"/>
  <c r="D227" i="18"/>
  <c r="D228" i="18"/>
  <c r="D229" i="18"/>
  <c r="D230" i="18"/>
  <c r="D231" i="18"/>
  <c r="D232" i="18"/>
  <c r="D233" i="18"/>
  <c r="D234" i="18"/>
  <c r="D235" i="18"/>
  <c r="D236" i="18"/>
  <c r="D237" i="18"/>
  <c r="D238" i="18"/>
  <c r="D239" i="18"/>
  <c r="D240" i="18"/>
  <c r="D241" i="18"/>
  <c r="D242" i="18"/>
  <c r="D243" i="18"/>
  <c r="D244" i="18"/>
  <c r="D245" i="18"/>
  <c r="D246" i="18"/>
  <c r="D247" i="18"/>
  <c r="D248" i="18"/>
  <c r="D249" i="18"/>
  <c r="D250" i="18"/>
  <c r="D251" i="18"/>
  <c r="D252" i="18"/>
  <c r="D253" i="18"/>
  <c r="D254" i="18"/>
  <c r="D255" i="18"/>
  <c r="D256" i="18"/>
  <c r="D257" i="18"/>
  <c r="D258" i="18"/>
  <c r="D259" i="18"/>
  <c r="D260" i="18"/>
  <c r="D261" i="18"/>
  <c r="D262" i="18"/>
  <c r="D263" i="18"/>
  <c r="D264" i="18"/>
  <c r="D265" i="18"/>
  <c r="D266" i="18"/>
  <c r="D267" i="18"/>
  <c r="D268" i="18"/>
  <c r="D269" i="18"/>
  <c r="D270" i="18"/>
  <c r="D271" i="18"/>
  <c r="D272" i="18"/>
  <c r="D273" i="18"/>
  <c r="D274" i="18"/>
  <c r="D275" i="18"/>
  <c r="D276" i="18"/>
  <c r="D277" i="18"/>
  <c r="D278" i="18"/>
  <c r="D279" i="18"/>
  <c r="D280" i="18"/>
  <c r="D281" i="18"/>
  <c r="D282" i="18"/>
  <c r="D283" i="18"/>
  <c r="D284" i="18"/>
  <c r="D285" i="18"/>
  <c r="D286" i="18"/>
  <c r="D287" i="18"/>
  <c r="D288" i="18"/>
  <c r="D289" i="18"/>
  <c r="D290" i="18"/>
  <c r="D291" i="18"/>
  <c r="D292" i="18"/>
  <c r="D293" i="18"/>
  <c r="D294" i="18"/>
  <c r="D295" i="18"/>
  <c r="D296" i="18"/>
  <c r="D297" i="18"/>
  <c r="D298" i="18"/>
  <c r="D299" i="18"/>
  <c r="D300" i="18"/>
  <c r="D301" i="18"/>
  <c r="D302" i="18"/>
  <c r="D303" i="18"/>
  <c r="D304" i="18"/>
  <c r="D305" i="18"/>
  <c r="D306" i="18"/>
  <c r="D307" i="18"/>
  <c r="D308" i="18"/>
  <c r="D309" i="18"/>
  <c r="D310" i="18"/>
  <c r="D311" i="18"/>
  <c r="D312" i="18"/>
  <c r="D313" i="18"/>
  <c r="D314" i="18"/>
  <c r="D315" i="18"/>
  <c r="D316" i="18"/>
  <c r="D317" i="18"/>
  <c r="D318" i="18"/>
  <c r="D319" i="18"/>
  <c r="D320" i="18"/>
  <c r="D321" i="18"/>
  <c r="D322" i="18"/>
  <c r="D323" i="18"/>
  <c r="D324" i="18"/>
  <c r="D325" i="18"/>
  <c r="D326" i="18"/>
  <c r="D327" i="18"/>
  <c r="D328" i="18"/>
  <c r="D329" i="18"/>
  <c r="D330" i="18"/>
  <c r="D331" i="18"/>
  <c r="D332" i="18"/>
  <c r="D333" i="18"/>
  <c r="D334" i="18"/>
  <c r="D335" i="18"/>
  <c r="D336" i="18"/>
  <c r="D337" i="18"/>
  <c r="D338" i="18"/>
  <c r="D339" i="18"/>
  <c r="D340" i="18"/>
  <c r="D341" i="18"/>
  <c r="D342" i="18"/>
  <c r="D343" i="18"/>
  <c r="D344" i="18"/>
  <c r="D345" i="18"/>
  <c r="D346" i="18"/>
  <c r="D347" i="18"/>
  <c r="D348" i="18"/>
  <c r="D349" i="18"/>
  <c r="D350" i="18"/>
  <c r="D351" i="18"/>
  <c r="D352" i="18"/>
  <c r="D353" i="18"/>
  <c r="D354" i="18"/>
  <c r="D355" i="18"/>
  <c r="D356" i="18"/>
  <c r="D357" i="18"/>
  <c r="D358" i="18"/>
  <c r="D359" i="18"/>
  <c r="D360" i="18"/>
  <c r="D361" i="18"/>
  <c r="D362" i="18"/>
  <c r="D363" i="18"/>
  <c r="D364" i="18"/>
  <c r="D365" i="18"/>
  <c r="D366" i="18"/>
  <c r="D367" i="18"/>
  <c r="D368" i="18"/>
  <c r="D369" i="18"/>
  <c r="D370" i="18"/>
  <c r="D371" i="18"/>
  <c r="D372" i="18"/>
  <c r="D373" i="18"/>
  <c r="D374" i="18"/>
  <c r="D375" i="18"/>
  <c r="D376" i="18"/>
  <c r="D377" i="18"/>
  <c r="D378" i="18"/>
  <c r="D379" i="18"/>
  <c r="D380" i="18"/>
  <c r="D381" i="18"/>
  <c r="D382" i="18"/>
  <c r="D383" i="18"/>
  <c r="D384" i="18"/>
  <c r="D385" i="18"/>
  <c r="D386" i="18"/>
  <c r="D387" i="18"/>
  <c r="D388" i="18"/>
  <c r="D389" i="18"/>
  <c r="D390" i="18"/>
  <c r="D391" i="18"/>
  <c r="D392" i="18"/>
  <c r="D393" i="18"/>
  <c r="D394" i="18"/>
  <c r="D395" i="18"/>
  <c r="D396" i="18"/>
  <c r="D397" i="18"/>
  <c r="D398" i="18"/>
  <c r="D399" i="18"/>
  <c r="D400" i="18"/>
  <c r="D401" i="18"/>
  <c r="D402" i="18"/>
  <c r="D403" i="18"/>
  <c r="D404" i="18"/>
  <c r="D405" i="18"/>
  <c r="D406" i="18"/>
  <c r="D407" i="18"/>
  <c r="D408" i="18"/>
  <c r="D409" i="18"/>
  <c r="D410" i="18"/>
  <c r="D411" i="18"/>
  <c r="D412" i="18"/>
  <c r="D413" i="18"/>
  <c r="D414" i="18"/>
  <c r="D415" i="18"/>
  <c r="D416" i="18"/>
  <c r="D417" i="18"/>
  <c r="D418" i="18"/>
  <c r="D419" i="18"/>
  <c r="D420" i="18"/>
  <c r="D421" i="18"/>
  <c r="D422" i="18"/>
  <c r="D423" i="18"/>
  <c r="D424" i="18"/>
  <c r="D425" i="18"/>
  <c r="D426" i="18"/>
  <c r="D427" i="18"/>
  <c r="D428" i="18"/>
  <c r="D429" i="18"/>
  <c r="D430" i="18"/>
  <c r="D431" i="18"/>
  <c r="D432" i="18"/>
  <c r="D433" i="18"/>
  <c r="D434" i="18"/>
  <c r="D435" i="18"/>
  <c r="D436" i="18"/>
  <c r="D437" i="18"/>
  <c r="D438" i="18"/>
  <c r="D439" i="18"/>
  <c r="D440" i="18"/>
  <c r="D441" i="18"/>
  <c r="D442" i="18"/>
  <c r="D443" i="18"/>
  <c r="D444" i="18"/>
  <c r="D445" i="18"/>
  <c r="D446" i="18"/>
  <c r="D447" i="18"/>
  <c r="D448" i="18"/>
  <c r="D449" i="18"/>
  <c r="D450" i="18"/>
  <c r="D451" i="18"/>
  <c r="D452" i="18"/>
  <c r="D453" i="18"/>
  <c r="D454" i="18"/>
  <c r="D455" i="18"/>
  <c r="D456" i="18"/>
  <c r="D457" i="18"/>
  <c r="D458" i="18"/>
  <c r="D459" i="18"/>
  <c r="D460" i="18"/>
  <c r="D461" i="18"/>
  <c r="D462" i="18"/>
  <c r="D463" i="18"/>
  <c r="D464" i="18"/>
  <c r="D465" i="18"/>
  <c r="D466" i="18"/>
  <c r="D467" i="18"/>
  <c r="D468" i="18"/>
  <c r="D469" i="18"/>
  <c r="D470" i="18"/>
  <c r="D471" i="18"/>
  <c r="D472" i="18"/>
  <c r="D473" i="18"/>
  <c r="D474" i="18"/>
  <c r="D475" i="18"/>
  <c r="D476" i="18"/>
  <c r="D477" i="18"/>
  <c r="D478" i="18"/>
  <c r="D479" i="18"/>
  <c r="D480" i="18"/>
  <c r="D481" i="18"/>
  <c r="D482" i="18"/>
  <c r="D483" i="18"/>
  <c r="D484" i="18"/>
  <c r="D485" i="18"/>
  <c r="D486" i="18"/>
  <c r="D487" i="18"/>
  <c r="D488" i="18"/>
  <c r="D489" i="18"/>
  <c r="D490" i="18"/>
  <c r="D491" i="18"/>
  <c r="D492" i="18"/>
  <c r="D493" i="18"/>
  <c r="D494" i="18"/>
  <c r="D495" i="18"/>
  <c r="D496" i="18"/>
  <c r="D497" i="18"/>
  <c r="D498" i="18"/>
  <c r="D499" i="18"/>
  <c r="D500" i="18"/>
  <c r="D501" i="18"/>
  <c r="D502" i="18"/>
  <c r="D503" i="18"/>
  <c r="D504" i="18"/>
  <c r="D505" i="18"/>
  <c r="D506" i="18"/>
  <c r="D507" i="18"/>
  <c r="D508" i="18"/>
  <c r="D509" i="18"/>
  <c r="D510" i="18"/>
  <c r="D511" i="18"/>
  <c r="D512" i="18"/>
  <c r="D513" i="18"/>
  <c r="D514" i="18"/>
  <c r="D515" i="18"/>
  <c r="D516" i="18"/>
  <c r="D517" i="18"/>
  <c r="D518" i="18"/>
  <c r="D519" i="18"/>
  <c r="D520" i="18"/>
  <c r="D521" i="18"/>
  <c r="D522" i="18"/>
  <c r="D523" i="18"/>
  <c r="D524" i="18"/>
  <c r="D525" i="18"/>
  <c r="D526" i="18"/>
  <c r="D527" i="18"/>
  <c r="D528" i="18"/>
  <c r="D529" i="18"/>
  <c r="D530" i="18"/>
  <c r="D531" i="18"/>
  <c r="D532" i="18"/>
  <c r="D533" i="18"/>
  <c r="D534" i="18"/>
  <c r="D535" i="18"/>
  <c r="D536" i="18"/>
  <c r="D537" i="18"/>
  <c r="D538" i="18"/>
  <c r="D539" i="18"/>
  <c r="D540" i="18"/>
  <c r="D541" i="18"/>
  <c r="D542" i="18"/>
  <c r="D543" i="18"/>
  <c r="D544" i="18"/>
  <c r="D545" i="18"/>
  <c r="D546" i="18"/>
  <c r="D547" i="18"/>
  <c r="D548" i="18"/>
  <c r="D549" i="18"/>
  <c r="D550" i="18"/>
  <c r="D551" i="18"/>
  <c r="D552" i="18"/>
  <c r="D553" i="18"/>
  <c r="D554" i="18"/>
  <c r="D555" i="18"/>
  <c r="D556" i="18"/>
  <c r="D557" i="18"/>
  <c r="D558" i="18"/>
  <c r="D559" i="18"/>
  <c r="D560" i="18"/>
  <c r="D561" i="18"/>
  <c r="D562" i="18"/>
  <c r="D563" i="18"/>
  <c r="D564" i="18"/>
  <c r="D565" i="18"/>
  <c r="D566" i="18"/>
  <c r="D567" i="18"/>
  <c r="D568" i="18"/>
  <c r="D569" i="18"/>
  <c r="D570" i="18"/>
  <c r="D571" i="18"/>
  <c r="D572" i="18"/>
  <c r="D573" i="18"/>
  <c r="D574" i="18"/>
  <c r="D575" i="18"/>
  <c r="D576" i="18"/>
  <c r="D577" i="18"/>
  <c r="D578" i="18"/>
  <c r="D579" i="18"/>
  <c r="D580" i="18"/>
  <c r="D581" i="18"/>
  <c r="D582" i="18"/>
  <c r="D583" i="18"/>
  <c r="D584" i="18"/>
  <c r="D585" i="18"/>
  <c r="D586" i="18"/>
  <c r="D587" i="18"/>
  <c r="D588" i="18"/>
  <c r="D589" i="18"/>
  <c r="D590" i="18"/>
  <c r="D591" i="18"/>
  <c r="D592" i="18"/>
  <c r="D593" i="18"/>
  <c r="D594" i="18"/>
  <c r="D595" i="18"/>
  <c r="D596" i="18"/>
  <c r="D597" i="18"/>
  <c r="D598" i="18"/>
  <c r="D599" i="18"/>
  <c r="D600" i="18"/>
  <c r="D601" i="18"/>
  <c r="D602" i="18"/>
  <c r="D603" i="18"/>
  <c r="D604" i="18"/>
  <c r="D605" i="18"/>
  <c r="D606" i="18"/>
  <c r="D607" i="18"/>
  <c r="D608" i="18"/>
  <c r="D609" i="18"/>
  <c r="D610" i="18"/>
  <c r="D611" i="18"/>
  <c r="D612" i="18"/>
  <c r="D613" i="18"/>
  <c r="D614" i="18"/>
  <c r="D615" i="18"/>
  <c r="D616" i="18"/>
  <c r="D617" i="18"/>
  <c r="D618" i="18"/>
  <c r="D619" i="18"/>
  <c r="D620" i="18"/>
  <c r="D621" i="18"/>
  <c r="D622" i="18"/>
  <c r="D623" i="18"/>
  <c r="D624" i="18"/>
  <c r="D625" i="18"/>
  <c r="D626" i="18"/>
  <c r="D627" i="18"/>
  <c r="D628" i="18"/>
  <c r="D629" i="18"/>
  <c r="D630" i="18"/>
  <c r="D631" i="18"/>
  <c r="D632" i="18"/>
  <c r="D633" i="18"/>
  <c r="D634" i="18"/>
  <c r="D635" i="18"/>
  <c r="D636" i="18"/>
  <c r="D637" i="18"/>
  <c r="D638" i="18"/>
  <c r="D639" i="18"/>
  <c r="D640" i="18"/>
  <c r="D641" i="18"/>
  <c r="D642" i="18"/>
  <c r="D643" i="18"/>
  <c r="D644" i="18"/>
  <c r="D645" i="18"/>
  <c r="D646" i="18"/>
  <c r="D647" i="18"/>
  <c r="D648" i="18"/>
  <c r="D649" i="18"/>
  <c r="D650" i="18"/>
  <c r="D651" i="18"/>
  <c r="D652" i="18"/>
  <c r="D653" i="18"/>
  <c r="D654" i="18"/>
  <c r="D655" i="18"/>
  <c r="D656" i="18"/>
  <c r="D657" i="18"/>
  <c r="D658" i="18"/>
  <c r="D659" i="18"/>
  <c r="D660" i="18"/>
  <c r="D661" i="18"/>
  <c r="D662" i="18"/>
  <c r="D663" i="18"/>
  <c r="D664" i="18"/>
  <c r="D665" i="18"/>
  <c r="D666" i="18"/>
  <c r="D667" i="18"/>
  <c r="D668" i="18"/>
  <c r="D669" i="18"/>
  <c r="D671" i="18"/>
  <c r="D672" i="18"/>
  <c r="D673" i="18"/>
  <c r="D674" i="18"/>
  <c r="D675" i="18"/>
  <c r="D676" i="18"/>
  <c r="D677" i="18"/>
  <c r="D678" i="18"/>
  <c r="D679" i="18"/>
  <c r="D680" i="18"/>
  <c r="D681" i="18"/>
  <c r="D682" i="18"/>
  <c r="D683" i="18"/>
  <c r="D684" i="18"/>
  <c r="D685" i="18"/>
  <c r="D686" i="18"/>
  <c r="D687" i="18"/>
  <c r="D688" i="18"/>
  <c r="D689" i="18"/>
  <c r="D690" i="18"/>
  <c r="D692" i="18"/>
  <c r="D693" i="18"/>
  <c r="D694" i="18"/>
  <c r="D695" i="18"/>
  <c r="D696" i="18"/>
  <c r="D697" i="18"/>
  <c r="D698" i="18"/>
  <c r="D699" i="18"/>
  <c r="D700" i="18"/>
  <c r="D701" i="18"/>
  <c r="D702" i="18"/>
  <c r="D703" i="18"/>
  <c r="D704" i="18"/>
  <c r="D705" i="18"/>
  <c r="D706" i="18"/>
  <c r="D707" i="18"/>
  <c r="D708" i="18"/>
  <c r="D709" i="18"/>
  <c r="D710" i="18"/>
  <c r="D711" i="18"/>
  <c r="D713" i="18"/>
  <c r="D714" i="18"/>
  <c r="D715" i="18"/>
  <c r="D716" i="18"/>
  <c r="D717" i="18"/>
  <c r="D718" i="18"/>
  <c r="D719" i="18"/>
  <c r="D720" i="18"/>
  <c r="D721" i="18"/>
  <c r="D722" i="18"/>
  <c r="D723" i="18"/>
  <c r="D724" i="18"/>
  <c r="D725" i="18"/>
  <c r="D726" i="18"/>
  <c r="D727" i="18"/>
  <c r="D728" i="18"/>
  <c r="D729" i="18"/>
  <c r="D730" i="18"/>
  <c r="D731" i="18"/>
  <c r="D732" i="18"/>
  <c r="D733" i="18"/>
  <c r="D735" i="18"/>
  <c r="D736" i="18"/>
  <c r="D737" i="18"/>
  <c r="D738" i="18"/>
  <c r="D739" i="18"/>
  <c r="D740" i="18"/>
  <c r="D741" i="18"/>
  <c r="D742" i="18"/>
  <c r="D743" i="18"/>
  <c r="D744" i="18"/>
  <c r="D745" i="18"/>
  <c r="D746" i="18"/>
  <c r="D747" i="18"/>
  <c r="D748" i="18"/>
  <c r="D749" i="18"/>
  <c r="D750" i="18"/>
  <c r="D751" i="18"/>
  <c r="D752" i="18"/>
  <c r="D753" i="18"/>
  <c r="D754" i="18"/>
  <c r="D755" i="18"/>
  <c r="D756" i="18"/>
  <c r="D757" i="18"/>
  <c r="D758" i="18"/>
  <c r="D759" i="18"/>
  <c r="D760" i="18"/>
  <c r="D761" i="18"/>
  <c r="D762" i="18"/>
  <c r="D763" i="18"/>
  <c r="D764" i="18"/>
  <c r="D765" i="18"/>
  <c r="D766" i="18"/>
  <c r="D767" i="18"/>
  <c r="D768" i="18"/>
  <c r="D769" i="18"/>
  <c r="D770" i="18"/>
  <c r="D771" i="18"/>
  <c r="D772" i="18"/>
  <c r="D773" i="18"/>
  <c r="D774" i="18"/>
  <c r="D775" i="18"/>
  <c r="D776" i="18"/>
  <c r="D777" i="18"/>
  <c r="D778" i="18"/>
  <c r="D779" i="18"/>
  <c r="D780" i="18"/>
  <c r="D781" i="18"/>
  <c r="D782" i="18"/>
  <c r="D783" i="18"/>
  <c r="D784" i="18"/>
  <c r="D785" i="18"/>
  <c r="D786" i="18"/>
  <c r="D787" i="18"/>
  <c r="D788" i="18"/>
  <c r="D789" i="18"/>
  <c r="D790" i="18"/>
  <c r="D791" i="18"/>
  <c r="D792" i="18"/>
  <c r="D793" i="18"/>
  <c r="D794" i="18"/>
  <c r="D795" i="18"/>
  <c r="D796" i="18"/>
  <c r="D797" i="18"/>
  <c r="D798" i="18"/>
  <c r="D799" i="18"/>
  <c r="D800" i="18"/>
  <c r="D801" i="18"/>
  <c r="D802" i="18"/>
  <c r="D803" i="18"/>
  <c r="D804" i="18"/>
  <c r="D805" i="18"/>
  <c r="D806" i="18"/>
  <c r="D807" i="18"/>
  <c r="D808" i="18"/>
  <c r="D809" i="18"/>
  <c r="D810" i="18"/>
  <c r="D811" i="18"/>
  <c r="D812" i="18"/>
  <c r="D813" i="18"/>
  <c r="D814" i="18"/>
  <c r="D815" i="18"/>
  <c r="D816" i="18"/>
  <c r="D817" i="18"/>
  <c r="D818" i="18"/>
  <c r="D819" i="18"/>
  <c r="D820" i="18"/>
  <c r="D821" i="18"/>
  <c r="D822" i="18"/>
  <c r="D823" i="18"/>
  <c r="D824" i="18"/>
  <c r="D825" i="18"/>
  <c r="D826" i="18"/>
  <c r="D827" i="18"/>
  <c r="D828" i="18"/>
  <c r="D829" i="18"/>
  <c r="D830" i="18"/>
  <c r="D831" i="18"/>
  <c r="D832" i="18"/>
  <c r="D833" i="18"/>
  <c r="D834" i="18"/>
  <c r="D835" i="18"/>
  <c r="D836" i="18"/>
  <c r="D837" i="18"/>
  <c r="D838" i="18"/>
  <c r="D839" i="18"/>
  <c r="D840" i="18"/>
  <c r="D841" i="18"/>
  <c r="D842" i="18"/>
  <c r="D843" i="18"/>
  <c r="D844" i="18"/>
  <c r="D845" i="18"/>
  <c r="D846" i="18"/>
  <c r="D847" i="18"/>
  <c r="D848" i="18"/>
  <c r="D849" i="18"/>
  <c r="D850" i="18"/>
  <c r="D851" i="18"/>
  <c r="D852" i="18"/>
  <c r="D853" i="18"/>
  <c r="D854" i="18"/>
  <c r="D855" i="18"/>
  <c r="D856" i="18"/>
  <c r="D857" i="18"/>
  <c r="D858" i="18"/>
  <c r="D859" i="18"/>
  <c r="D860" i="18"/>
  <c r="D861" i="18"/>
  <c r="D862" i="18"/>
  <c r="D863" i="18"/>
  <c r="D864" i="18"/>
  <c r="D865" i="18"/>
  <c r="D866" i="18"/>
  <c r="D867" i="18"/>
  <c r="D868" i="18"/>
  <c r="D869" i="18"/>
  <c r="D870" i="18"/>
  <c r="D871" i="18"/>
  <c r="D872" i="18"/>
  <c r="D873" i="18"/>
  <c r="D874" i="18"/>
  <c r="D875" i="18"/>
  <c r="D876" i="18"/>
  <c r="D877" i="18"/>
  <c r="D878" i="18"/>
  <c r="D879" i="18"/>
  <c r="D880" i="18"/>
  <c r="D881" i="18"/>
  <c r="D882" i="18"/>
  <c r="D883" i="18"/>
  <c r="D884" i="18"/>
  <c r="D885" i="18"/>
  <c r="D886" i="18"/>
  <c r="D887" i="18"/>
  <c r="D888" i="18"/>
  <c r="D889" i="18"/>
  <c r="D890" i="18"/>
  <c r="D891" i="18"/>
  <c r="D892" i="18"/>
  <c r="D893" i="18"/>
  <c r="D894" i="18"/>
  <c r="D895" i="18"/>
  <c r="D896" i="18"/>
  <c r="D897" i="18"/>
  <c r="D898" i="18"/>
  <c r="D899" i="18"/>
  <c r="D900" i="18"/>
  <c r="D901" i="18"/>
  <c r="D902" i="18"/>
  <c r="D903" i="18"/>
  <c r="D904" i="18"/>
  <c r="D905" i="18"/>
  <c r="D906" i="18"/>
  <c r="D907" i="18"/>
  <c r="D908" i="18"/>
  <c r="D909" i="18"/>
  <c r="D910" i="18"/>
  <c r="D911" i="18"/>
  <c r="D912" i="18"/>
  <c r="D913" i="18"/>
  <c r="D914" i="18"/>
  <c r="D915" i="18"/>
  <c r="D916" i="18"/>
  <c r="D917" i="18"/>
  <c r="D918" i="18"/>
  <c r="D919" i="18"/>
  <c r="D920" i="18"/>
  <c r="D921" i="18"/>
  <c r="D922" i="18"/>
  <c r="D923" i="18"/>
  <c r="D924" i="18"/>
  <c r="D925" i="18"/>
  <c r="D926" i="18"/>
  <c r="D927" i="18"/>
  <c r="D928" i="18"/>
  <c r="D929" i="18"/>
  <c r="D930" i="18"/>
  <c r="D931" i="18"/>
  <c r="D932" i="18"/>
  <c r="D933" i="18"/>
  <c r="D934" i="18"/>
  <c r="D935" i="18"/>
  <c r="D936" i="18"/>
  <c r="D937" i="18"/>
  <c r="D938" i="18"/>
  <c r="D939" i="18"/>
  <c r="D940" i="18"/>
  <c r="D941" i="18"/>
  <c r="D942" i="18"/>
  <c r="D943" i="18"/>
  <c r="D944" i="18"/>
  <c r="D945" i="18"/>
  <c r="D946" i="18"/>
  <c r="D947" i="18"/>
  <c r="D948" i="18"/>
  <c r="D949" i="18"/>
  <c r="D950" i="18"/>
  <c r="D951" i="18"/>
  <c r="D952" i="18"/>
  <c r="D954" i="18"/>
  <c r="D955" i="18"/>
  <c r="D956" i="18"/>
  <c r="D957" i="18"/>
  <c r="D958" i="18"/>
  <c r="D959" i="18"/>
  <c r="D960" i="18"/>
  <c r="D961" i="18"/>
  <c r="D962" i="18"/>
  <c r="D963" i="18"/>
  <c r="D964" i="18"/>
  <c r="D965" i="18"/>
  <c r="D966" i="18"/>
  <c r="D967" i="18"/>
  <c r="D968" i="18"/>
  <c r="D969" i="18"/>
  <c r="D970" i="18"/>
  <c r="D971" i="18"/>
  <c r="D972" i="18"/>
  <c r="D973" i="18"/>
  <c r="D974" i="18"/>
  <c r="D975" i="18"/>
  <c r="D976" i="18"/>
  <c r="D977" i="18"/>
  <c r="D978" i="18"/>
  <c r="D979" i="18"/>
  <c r="D980" i="18"/>
  <c r="D981" i="18"/>
  <c r="D982" i="18"/>
  <c r="D983" i="18"/>
  <c r="D984" i="18"/>
  <c r="D985" i="18"/>
  <c r="D986" i="18"/>
  <c r="D987" i="18"/>
  <c r="D988" i="18"/>
  <c r="D989" i="18"/>
  <c r="D990" i="18"/>
  <c r="D991" i="18"/>
  <c r="D992" i="18"/>
  <c r="D993" i="18"/>
  <c r="D994" i="18"/>
  <c r="D995" i="18"/>
  <c r="D996" i="18"/>
  <c r="D997" i="18"/>
  <c r="D998" i="18"/>
  <c r="D999" i="18"/>
  <c r="D1000" i="18"/>
  <c r="D1001" i="18"/>
  <c r="D1002" i="18"/>
  <c r="D1003" i="18"/>
  <c r="D1004" i="18"/>
  <c r="D1005" i="18"/>
  <c r="D1006" i="18"/>
  <c r="D1007" i="18"/>
  <c r="D1008" i="18"/>
  <c r="D1009" i="18"/>
  <c r="D1010" i="18"/>
  <c r="D1011" i="18"/>
  <c r="D1012" i="18"/>
  <c r="D1013" i="18"/>
  <c r="D1014" i="18"/>
  <c r="D1015" i="18"/>
  <c r="D1016" i="18"/>
  <c r="D1017" i="18"/>
  <c r="D1018" i="18"/>
  <c r="D1019" i="18"/>
  <c r="D1020" i="18"/>
  <c r="D1021" i="18"/>
  <c r="D1022" i="18"/>
  <c r="D1023" i="18"/>
  <c r="D1024" i="18"/>
  <c r="D1025" i="18"/>
  <c r="D1026" i="18"/>
  <c r="D1027" i="18"/>
  <c r="D1028" i="18"/>
  <c r="D1029" i="18"/>
  <c r="D1030" i="18"/>
  <c r="D1031" i="18"/>
  <c r="D1032" i="18"/>
  <c r="D1033" i="18"/>
  <c r="D1034" i="18"/>
  <c r="D1035" i="18"/>
  <c r="D1036" i="18"/>
  <c r="D1037" i="18"/>
  <c r="D1038" i="18"/>
  <c r="D1039" i="18"/>
  <c r="D1040" i="18"/>
  <c r="D1041" i="18"/>
  <c r="D1042" i="18"/>
  <c r="D1043" i="18"/>
  <c r="D1044" i="18"/>
  <c r="D1045" i="18"/>
  <c r="D1046" i="18"/>
  <c r="D1047" i="18"/>
  <c r="D1048" i="18"/>
  <c r="D1049" i="18"/>
  <c r="D1050" i="18"/>
  <c r="D1051" i="18"/>
  <c r="D1052" i="18"/>
  <c r="D1053" i="18"/>
  <c r="D1054" i="18"/>
  <c r="D1055" i="18"/>
  <c r="D1056" i="18"/>
  <c r="D1057" i="18"/>
  <c r="D1058" i="18"/>
  <c r="D1059" i="18"/>
  <c r="D1060" i="18"/>
  <c r="D1061" i="18"/>
  <c r="D1062" i="18"/>
  <c r="D1063" i="18"/>
  <c r="D1064" i="18"/>
  <c r="D1065" i="18"/>
  <c r="D1066" i="18"/>
  <c r="D1067" i="18"/>
  <c r="D1068" i="18"/>
  <c r="D1069" i="18"/>
  <c r="D1070" i="18"/>
  <c r="D1071" i="18"/>
  <c r="D1072" i="18"/>
  <c r="D1073" i="18"/>
  <c r="D1074" i="18"/>
  <c r="D1075" i="18"/>
  <c r="D1076" i="18"/>
  <c r="D1077" i="18"/>
  <c r="D1078" i="18"/>
  <c r="D1079" i="18"/>
  <c r="D1080" i="18"/>
  <c r="D1081" i="18"/>
  <c r="D1082" i="18"/>
  <c r="D1083" i="18"/>
  <c r="D1085" i="18"/>
  <c r="D1086" i="18"/>
  <c r="D1087" i="18"/>
  <c r="D1088" i="18"/>
  <c r="D1089" i="18"/>
  <c r="D1090" i="18"/>
  <c r="D1091" i="18"/>
  <c r="D1092" i="18"/>
  <c r="D1093" i="18"/>
  <c r="D1094" i="18"/>
  <c r="D1095" i="18"/>
  <c r="D1096" i="18"/>
  <c r="D1097" i="18"/>
  <c r="D1098" i="18"/>
  <c r="D1099" i="18"/>
  <c r="D1100" i="18"/>
  <c r="D1101" i="18"/>
  <c r="D1102" i="18"/>
  <c r="D1103" i="18"/>
  <c r="D1104" i="18"/>
  <c r="D1105" i="18"/>
  <c r="D1106" i="18"/>
  <c r="D1107" i="18"/>
  <c r="D1108" i="18"/>
  <c r="D1109" i="18"/>
  <c r="D1110" i="18"/>
  <c r="D1111" i="18"/>
  <c r="D1112" i="18"/>
  <c r="D1113" i="18"/>
  <c r="D1114" i="18"/>
  <c r="D1115" i="18"/>
  <c r="D1116" i="18"/>
  <c r="D1117" i="18"/>
  <c r="D1118" i="18"/>
  <c r="D1119" i="18"/>
  <c r="D1120" i="18"/>
  <c r="D1121" i="18"/>
  <c r="D1122" i="18"/>
  <c r="D1123" i="18"/>
  <c r="D1124" i="18"/>
  <c r="D1125" i="18"/>
  <c r="D1126" i="18"/>
  <c r="D1127" i="18"/>
  <c r="D1128" i="18"/>
  <c r="D1129" i="18"/>
  <c r="D1130" i="18"/>
  <c r="D1131" i="18"/>
  <c r="D1132" i="18"/>
  <c r="D1133" i="18"/>
  <c r="D1134" i="18"/>
  <c r="D1135" i="18"/>
  <c r="D1136" i="18"/>
  <c r="D1137" i="18"/>
  <c r="D1138" i="18"/>
  <c r="D1139" i="18"/>
  <c r="D1140" i="18"/>
  <c r="D1141" i="18"/>
  <c r="D1142" i="18"/>
  <c r="D1143" i="18"/>
  <c r="D1144" i="18"/>
  <c r="D1145" i="18"/>
  <c r="D1146" i="18"/>
  <c r="D1147" i="18"/>
  <c r="D1148" i="18"/>
  <c r="D1149" i="18"/>
  <c r="D1150" i="18"/>
  <c r="D1151" i="18"/>
  <c r="D1152" i="18"/>
  <c r="D1153" i="18"/>
  <c r="D1154" i="18"/>
  <c r="D1155" i="18"/>
  <c r="D1156" i="18"/>
  <c r="D1157" i="18"/>
  <c r="D1158" i="18"/>
  <c r="D1159" i="18"/>
  <c r="D1160" i="18"/>
  <c r="D1161" i="18"/>
  <c r="D1162" i="18"/>
  <c r="D1163" i="18"/>
  <c r="D1164" i="18"/>
  <c r="D1165" i="18"/>
  <c r="D1166" i="18"/>
  <c r="D1167" i="18"/>
  <c r="D1168" i="18"/>
  <c r="D1169" i="18"/>
  <c r="D1170" i="18"/>
  <c r="D1171" i="18"/>
  <c r="D1172" i="18"/>
  <c r="D1173" i="18"/>
  <c r="D1174" i="18"/>
  <c r="D1175" i="18"/>
  <c r="D1176" i="18"/>
  <c r="D1177" i="18"/>
  <c r="D1178" i="18"/>
  <c r="D1179" i="18"/>
  <c r="D1180" i="18"/>
  <c r="D1181" i="18"/>
  <c r="D1182" i="18"/>
  <c r="D1183" i="18"/>
  <c r="D1184" i="18"/>
  <c r="D1185" i="18"/>
  <c r="D1186" i="18"/>
  <c r="D1187" i="18"/>
  <c r="D1188" i="18"/>
  <c r="D1189" i="18"/>
  <c r="D1190" i="18"/>
  <c r="D1191" i="18"/>
  <c r="D1192" i="18"/>
  <c r="D1193" i="18"/>
  <c r="D1194" i="18"/>
  <c r="D1195" i="18"/>
  <c r="D1196" i="18"/>
  <c r="D1197" i="18"/>
  <c r="D1198" i="18"/>
  <c r="D1199" i="18"/>
  <c r="D1200" i="18"/>
  <c r="D1201" i="18"/>
  <c r="D1202" i="18"/>
  <c r="D1203" i="18"/>
  <c r="D1204" i="18"/>
  <c r="D1205" i="18"/>
  <c r="D1206" i="18"/>
  <c r="D1207" i="18"/>
  <c r="D1208" i="18"/>
  <c r="D1209" i="18"/>
  <c r="D1210" i="18"/>
  <c r="D1211" i="18"/>
  <c r="D1212" i="18"/>
  <c r="D1213" i="18"/>
  <c r="D1214" i="18"/>
  <c r="D1215" i="18"/>
  <c r="D1216" i="18"/>
  <c r="D1217" i="18"/>
  <c r="D1218" i="18"/>
  <c r="D1219" i="18"/>
  <c r="D1220" i="18"/>
  <c r="D1221" i="18"/>
  <c r="D1222" i="18"/>
  <c r="D1223" i="18"/>
  <c r="D1224" i="18"/>
  <c r="D1225" i="18"/>
  <c r="D1226" i="18"/>
  <c r="D1227" i="18"/>
  <c r="D1228" i="18"/>
  <c r="D1229" i="18"/>
  <c r="D1230" i="18"/>
  <c r="D1231" i="18"/>
  <c r="D1232" i="18"/>
  <c r="D1233" i="18"/>
  <c r="D1234" i="18"/>
  <c r="D1235" i="18"/>
  <c r="D1236" i="18"/>
  <c r="D1237" i="18"/>
  <c r="D1238" i="18"/>
  <c r="D1239" i="18"/>
  <c r="D1240" i="18"/>
  <c r="D1241" i="18"/>
  <c r="D1242" i="18"/>
  <c r="D1243" i="18"/>
  <c r="D1244" i="18"/>
  <c r="D1245" i="18"/>
  <c r="D1246" i="18"/>
  <c r="D1247" i="18"/>
  <c r="D1248" i="18"/>
  <c r="D1249" i="18"/>
  <c r="D1250" i="18"/>
  <c r="D1251" i="18"/>
  <c r="D1252" i="18"/>
  <c r="D1253" i="18"/>
  <c r="D1254" i="18"/>
  <c r="D1255" i="18"/>
  <c r="D1256" i="18"/>
  <c r="D1257" i="18"/>
  <c r="D1258" i="18"/>
  <c r="D1259" i="18"/>
  <c r="D1260" i="18"/>
  <c r="D1261" i="18"/>
  <c r="D1262" i="18"/>
  <c r="D1263" i="18"/>
  <c r="D1264" i="18"/>
  <c r="D1265" i="18"/>
  <c r="D1266" i="18"/>
  <c r="D1267" i="18"/>
  <c r="D1268" i="18"/>
  <c r="D1269" i="18"/>
  <c r="D1270" i="18"/>
  <c r="D1271" i="18"/>
  <c r="D1272" i="18"/>
  <c r="D1273" i="18"/>
  <c r="D1274" i="18"/>
  <c r="D1275" i="18"/>
  <c r="D1276" i="18"/>
  <c r="D1277" i="18"/>
  <c r="D1278" i="18"/>
  <c r="D1279" i="18"/>
  <c r="D1280" i="18"/>
  <c r="D1281" i="18"/>
  <c r="D1282" i="18"/>
  <c r="D1283" i="18"/>
  <c r="D1284" i="18"/>
  <c r="D1285" i="18"/>
  <c r="D1286" i="18"/>
  <c r="D1287" i="18"/>
  <c r="D1288" i="18"/>
  <c r="D1289" i="18"/>
  <c r="D1290" i="18"/>
  <c r="D1291" i="18"/>
  <c r="D1292" i="18"/>
  <c r="D1293" i="18"/>
  <c r="D1294" i="18"/>
  <c r="D1295" i="18"/>
  <c r="D1296" i="18"/>
  <c r="D1297" i="18"/>
  <c r="D1298" i="18"/>
  <c r="D1299" i="18"/>
  <c r="D1300" i="18"/>
  <c r="D1301" i="18"/>
  <c r="D1302" i="18"/>
  <c r="D1303" i="18"/>
  <c r="D1304" i="18"/>
  <c r="D1305" i="18"/>
  <c r="D1306" i="18"/>
  <c r="D1307" i="18"/>
  <c r="D1308" i="18"/>
  <c r="D1309" i="18"/>
  <c r="D1310" i="18"/>
  <c r="D1311" i="18"/>
  <c r="D1312" i="18"/>
  <c r="D1313" i="18"/>
  <c r="D1314" i="18"/>
  <c r="D1315" i="18"/>
  <c r="D1316" i="18"/>
  <c r="D1317" i="18"/>
  <c r="D1318" i="18"/>
  <c r="D1319" i="18"/>
  <c r="D1320" i="18"/>
  <c r="D1321" i="18"/>
  <c r="D1322" i="18"/>
  <c r="D1323" i="18"/>
  <c r="D1324" i="18"/>
  <c r="D1325" i="18"/>
  <c r="D1326" i="18"/>
  <c r="D1327" i="18"/>
  <c r="D1328" i="18"/>
  <c r="D1329" i="18"/>
  <c r="D1330" i="18"/>
  <c r="D1331" i="18"/>
  <c r="D1332" i="18"/>
  <c r="D1333" i="18"/>
  <c r="D1334" i="18"/>
  <c r="D1335" i="18"/>
  <c r="D1336" i="18"/>
  <c r="D1337" i="18"/>
  <c r="D1338" i="18"/>
  <c r="D1339" i="18"/>
  <c r="D1340" i="18"/>
  <c r="D1341" i="18"/>
  <c r="D1342" i="18"/>
  <c r="D1343" i="18"/>
  <c r="D1344" i="18"/>
  <c r="D1345" i="18"/>
  <c r="D1346" i="18"/>
  <c r="D1347" i="18"/>
  <c r="D1348" i="18"/>
  <c r="D1349" i="18"/>
  <c r="D1350" i="18"/>
  <c r="D1351" i="18"/>
  <c r="D1352" i="18"/>
  <c r="D1353" i="18"/>
  <c r="D1354" i="18"/>
  <c r="D1355" i="18"/>
  <c r="D1356" i="18"/>
  <c r="D1357" i="18"/>
  <c r="D1358" i="18"/>
  <c r="D1359" i="18"/>
  <c r="D1360" i="18"/>
  <c r="D1361" i="18"/>
  <c r="D1362" i="18"/>
  <c r="D1363" i="18"/>
  <c r="D1364" i="18"/>
  <c r="D1365" i="18"/>
  <c r="D1366" i="18"/>
  <c r="D1367" i="18"/>
  <c r="D1368" i="18"/>
  <c r="D1369" i="18"/>
  <c r="D1370" i="18"/>
  <c r="D1371" i="18"/>
  <c r="D1372" i="18"/>
  <c r="D1373" i="18"/>
  <c r="D1374" i="18"/>
  <c r="D1375" i="18"/>
  <c r="D1376" i="18"/>
  <c r="D1377" i="18"/>
  <c r="D1378" i="18"/>
  <c r="D1379" i="18"/>
  <c r="D1380" i="18"/>
  <c r="D1381" i="18"/>
  <c r="D1382" i="18"/>
  <c r="D1383" i="18"/>
  <c r="D1384" i="18"/>
  <c r="D1385" i="18"/>
  <c r="D1386" i="18"/>
  <c r="D1387" i="18"/>
  <c r="D1388" i="18"/>
  <c r="D1389" i="18"/>
  <c r="D1390" i="18"/>
  <c r="D1391" i="18"/>
  <c r="D1392" i="18"/>
  <c r="D1393" i="18"/>
  <c r="D1394" i="18"/>
  <c r="D1395" i="18"/>
  <c r="D1396" i="18"/>
  <c r="D1397" i="18"/>
  <c r="D1398" i="18"/>
  <c r="D1399" i="18"/>
  <c r="D1400" i="18"/>
  <c r="D1401" i="18"/>
  <c r="D1402" i="18"/>
  <c r="D1403" i="18"/>
  <c r="D1404" i="18"/>
  <c r="D1405" i="18"/>
  <c r="D1406" i="18"/>
  <c r="D1407" i="18"/>
  <c r="D1408" i="18"/>
  <c r="D1409" i="18"/>
  <c r="D1410" i="18"/>
  <c r="D1411" i="18"/>
  <c r="D1412" i="18"/>
  <c r="D1413" i="18"/>
  <c r="D1414" i="18"/>
  <c r="D1415" i="18"/>
  <c r="D1416" i="18"/>
  <c r="D1417" i="18"/>
  <c r="D1418" i="18"/>
  <c r="D1419" i="18"/>
  <c r="D1420" i="18"/>
  <c r="D1421" i="18"/>
  <c r="D1422" i="18"/>
  <c r="D1423" i="18"/>
  <c r="D1424" i="18"/>
  <c r="D1425" i="18"/>
  <c r="D1426" i="18"/>
  <c r="D1427" i="18"/>
  <c r="D1428" i="18"/>
  <c r="D1429" i="18"/>
  <c r="D1430" i="18"/>
  <c r="D1431" i="18"/>
  <c r="D1432" i="18"/>
  <c r="D1433" i="18"/>
  <c r="D1434" i="18"/>
  <c r="D1435" i="18"/>
  <c r="D1436" i="18"/>
  <c r="D1437" i="18"/>
  <c r="D1438" i="18"/>
  <c r="D1439" i="18"/>
  <c r="D1440" i="18"/>
  <c r="D1441" i="18"/>
  <c r="D1442" i="18"/>
  <c r="D1443" i="18"/>
  <c r="D1444" i="18"/>
  <c r="D1445" i="18"/>
  <c r="D1446" i="18"/>
  <c r="D1447" i="18"/>
  <c r="D1448" i="18"/>
  <c r="D1449" i="18"/>
  <c r="D1450" i="18"/>
  <c r="D1451" i="18"/>
  <c r="D1452" i="18"/>
  <c r="D1453" i="18"/>
  <c r="D1454" i="18"/>
  <c r="D1455" i="18"/>
  <c r="D1456" i="18"/>
  <c r="D1457" i="18"/>
  <c r="D1458" i="18"/>
  <c r="D1459" i="18"/>
  <c r="D1460" i="18"/>
  <c r="D1461" i="18"/>
  <c r="D1462" i="18"/>
  <c r="D1463" i="18"/>
  <c r="D1464" i="18"/>
  <c r="D1465" i="18"/>
  <c r="D1466" i="18"/>
  <c r="D1467" i="18"/>
  <c r="D1468" i="18"/>
  <c r="D1469" i="18"/>
  <c r="D1470" i="18"/>
  <c r="D1471" i="18"/>
  <c r="D1472" i="18"/>
  <c r="D1473" i="18"/>
  <c r="D1474" i="18"/>
  <c r="D1475" i="18"/>
  <c r="D1476" i="18"/>
  <c r="D1477" i="18"/>
  <c r="D1478" i="18"/>
  <c r="D1479" i="18"/>
  <c r="D1480" i="18"/>
  <c r="D1481" i="18"/>
  <c r="D1482" i="18"/>
  <c r="D1483" i="18"/>
  <c r="D1484" i="18"/>
  <c r="D1485" i="18"/>
  <c r="D1486" i="18"/>
  <c r="D1487" i="18"/>
  <c r="D1488" i="18"/>
  <c r="D1489" i="18"/>
  <c r="D1490" i="18"/>
  <c r="D1491" i="18"/>
  <c r="D1492" i="18"/>
  <c r="D1493" i="18"/>
  <c r="D1494" i="18"/>
  <c r="D1495" i="18"/>
  <c r="D1496" i="18"/>
  <c r="D1497" i="18"/>
  <c r="D1498" i="18"/>
  <c r="D1499" i="18"/>
  <c r="D1500" i="18"/>
  <c r="D1501" i="18"/>
  <c r="D1502" i="18"/>
  <c r="D1503" i="18"/>
  <c r="D1504" i="18"/>
  <c r="D1505" i="18"/>
  <c r="D1506" i="18"/>
  <c r="D1507" i="18"/>
  <c r="D1508" i="18"/>
  <c r="D1509" i="18"/>
  <c r="D1510" i="18"/>
  <c r="D1511" i="18"/>
  <c r="D1512" i="18"/>
  <c r="D1513" i="18"/>
  <c r="D1514" i="18"/>
  <c r="D1515" i="18"/>
  <c r="D1516" i="18"/>
  <c r="D1517" i="18"/>
  <c r="D1518" i="18"/>
  <c r="D1519" i="18"/>
  <c r="D1520" i="18"/>
  <c r="D1521" i="18"/>
  <c r="D1522" i="18"/>
  <c r="D1523" i="18"/>
  <c r="D1524" i="18"/>
  <c r="D1525" i="18"/>
  <c r="D1526" i="18"/>
  <c r="D1527" i="18"/>
  <c r="D1528" i="18"/>
  <c r="D1529" i="18"/>
  <c r="D1530" i="18"/>
  <c r="D1531" i="18"/>
  <c r="D1532" i="18"/>
  <c r="D1533" i="18"/>
  <c r="D1534" i="18"/>
  <c r="D1535" i="18"/>
  <c r="D1536" i="18"/>
  <c r="D1537" i="18"/>
  <c r="D1538" i="18"/>
  <c r="D1539" i="18"/>
  <c r="D1540" i="18"/>
  <c r="D1541" i="18"/>
  <c r="D1542" i="18"/>
  <c r="D1543" i="18"/>
  <c r="D1544" i="18"/>
  <c r="D1545" i="18"/>
  <c r="D1546" i="18"/>
  <c r="D1547" i="18"/>
  <c r="D1548" i="18"/>
  <c r="D1549" i="18"/>
  <c r="D1550" i="18"/>
  <c r="D1551" i="18"/>
  <c r="D1552" i="18"/>
  <c r="D1553" i="18"/>
  <c r="D1554" i="18"/>
  <c r="D1555" i="18"/>
  <c r="D1556" i="18"/>
  <c r="D1557" i="18"/>
  <c r="D1558" i="18"/>
  <c r="D1559" i="18"/>
  <c r="D1560" i="18"/>
  <c r="D1561" i="18"/>
  <c r="D1562" i="18"/>
  <c r="D1563" i="18"/>
  <c r="D1564" i="18"/>
  <c r="D1565" i="18"/>
  <c r="D1566" i="18"/>
  <c r="D1567" i="18"/>
  <c r="D1568" i="18"/>
  <c r="D1569" i="18"/>
  <c r="D1570" i="18"/>
  <c r="D1571" i="18"/>
  <c r="D1572" i="18"/>
  <c r="D1573" i="18"/>
  <c r="D1574" i="18"/>
  <c r="D1575" i="18"/>
  <c r="D1576" i="18"/>
  <c r="D1577" i="18"/>
  <c r="D1578" i="18"/>
  <c r="D1579" i="18"/>
  <c r="D1580" i="18"/>
  <c r="D1581" i="18"/>
  <c r="D1582" i="18"/>
  <c r="D1583" i="18"/>
  <c r="D1584" i="18"/>
  <c r="D1585" i="18"/>
  <c r="D1586" i="18"/>
  <c r="D1587" i="18"/>
  <c r="D1588" i="18"/>
  <c r="D1589" i="18"/>
  <c r="D1590" i="18"/>
  <c r="D1591" i="18"/>
  <c r="D1592" i="18"/>
  <c r="D1593" i="18"/>
  <c r="D1594" i="18"/>
  <c r="D1595" i="18"/>
  <c r="D1596" i="18"/>
  <c r="D1597" i="18"/>
  <c r="D1598" i="18"/>
  <c r="D1599" i="18"/>
  <c r="D1600" i="18"/>
  <c r="D1601" i="18"/>
  <c r="D1602" i="18"/>
  <c r="D1603" i="18"/>
  <c r="D1604" i="18"/>
  <c r="D1605" i="18"/>
  <c r="D1606" i="18"/>
  <c r="D1607" i="18"/>
  <c r="D1608" i="18"/>
  <c r="D1609" i="18"/>
  <c r="D1610" i="18"/>
  <c r="D1611" i="18"/>
  <c r="D1612" i="18"/>
  <c r="D1613" i="18"/>
  <c r="D1614" i="18"/>
  <c r="D1615" i="18"/>
  <c r="D1616" i="18"/>
  <c r="D1617" i="18"/>
  <c r="D1618" i="18"/>
  <c r="D1619" i="18"/>
  <c r="D1620" i="18"/>
  <c r="D1621" i="18"/>
  <c r="D1622" i="18"/>
  <c r="D1623" i="18"/>
  <c r="D1624" i="18"/>
  <c r="D1625" i="18"/>
  <c r="D1626" i="18"/>
  <c r="D1627" i="18"/>
  <c r="D1628" i="18"/>
  <c r="D1629" i="18"/>
  <c r="D1630" i="18"/>
  <c r="D1631" i="18"/>
  <c r="D1632" i="18"/>
  <c r="D1633" i="18"/>
  <c r="D1634" i="18"/>
  <c r="D1635" i="18"/>
  <c r="D1636" i="18"/>
  <c r="D1637" i="18"/>
  <c r="D1638" i="18"/>
  <c r="D1639" i="18"/>
  <c r="D1640" i="18"/>
  <c r="D1641" i="18"/>
  <c r="D1642" i="18"/>
  <c r="D1643" i="18"/>
  <c r="D1644" i="18"/>
  <c r="D1645" i="18"/>
  <c r="D1646" i="18"/>
  <c r="D1647" i="18"/>
  <c r="D1648" i="18"/>
  <c r="D1649" i="18"/>
  <c r="D1650" i="18"/>
  <c r="D1651" i="18"/>
  <c r="D1652" i="18"/>
  <c r="D1653" i="18"/>
  <c r="D1654" i="18"/>
  <c r="D1655" i="18"/>
  <c r="D1656" i="18"/>
  <c r="D1657" i="18"/>
  <c r="D1658" i="18"/>
  <c r="D1659" i="18"/>
  <c r="D1660" i="18"/>
  <c r="D1661" i="18"/>
  <c r="D1662" i="18"/>
  <c r="D1663" i="18"/>
  <c r="D1664" i="18"/>
  <c r="D1665" i="18"/>
  <c r="D1666" i="18"/>
  <c r="D1667" i="18"/>
  <c r="D1668" i="18"/>
  <c r="D1669" i="18"/>
  <c r="D1670" i="18"/>
  <c r="D1671" i="18"/>
  <c r="D1672" i="18"/>
  <c r="D1673" i="18"/>
  <c r="D1674" i="18"/>
  <c r="D1675" i="18"/>
  <c r="D1676" i="18"/>
  <c r="D1677" i="18"/>
  <c r="D1678" i="18"/>
  <c r="D1679" i="18"/>
  <c r="D1680" i="18"/>
  <c r="D1681" i="18"/>
  <c r="D1682" i="18"/>
  <c r="D1683" i="18"/>
  <c r="D1684" i="18"/>
  <c r="D1685" i="18"/>
  <c r="D1686" i="18"/>
  <c r="D1687" i="18"/>
  <c r="D1688" i="18"/>
  <c r="D1689" i="18"/>
  <c r="D1690" i="18"/>
  <c r="D1691" i="18"/>
  <c r="D1692" i="18"/>
  <c r="D1693" i="18"/>
  <c r="D1694" i="18"/>
  <c r="D1695" i="18"/>
  <c r="D1696" i="18"/>
  <c r="D1697" i="18"/>
  <c r="D1698" i="18"/>
  <c r="D1699" i="18"/>
  <c r="D1700" i="18"/>
  <c r="D1701" i="18"/>
  <c r="D1702" i="18"/>
  <c r="D1703" i="18"/>
  <c r="D1704" i="18"/>
  <c r="D1705" i="18"/>
  <c r="D1706" i="18"/>
  <c r="D1707" i="18"/>
  <c r="D1708" i="18"/>
  <c r="D1709" i="18"/>
  <c r="D1710" i="18"/>
  <c r="D1711" i="18"/>
  <c r="D1712" i="18"/>
  <c r="D1713" i="18"/>
  <c r="D1714" i="18"/>
  <c r="D1715" i="18"/>
  <c r="D1716" i="18"/>
  <c r="D1717" i="18"/>
  <c r="D1718" i="18"/>
  <c r="D1719" i="18"/>
  <c r="D1720" i="18"/>
  <c r="D1721" i="18"/>
  <c r="D1722" i="18"/>
  <c r="D1723" i="18"/>
  <c r="D1724" i="18"/>
  <c r="D1725" i="18"/>
  <c r="D1726" i="18"/>
  <c r="D1727" i="18"/>
  <c r="D1728" i="18"/>
  <c r="D1729" i="18"/>
  <c r="D1730" i="18"/>
  <c r="D1731" i="18"/>
  <c r="D1732" i="18"/>
  <c r="D1733" i="18"/>
  <c r="D1734" i="18"/>
  <c r="D1735" i="18"/>
  <c r="D1736" i="18"/>
  <c r="D1737" i="18"/>
  <c r="D1738" i="18"/>
  <c r="D1739" i="18"/>
  <c r="D1740" i="18"/>
  <c r="D1741" i="18"/>
  <c r="D1742" i="18"/>
  <c r="D1743" i="18"/>
  <c r="D1744" i="18"/>
  <c r="D1745" i="18"/>
  <c r="D1746" i="18"/>
  <c r="D1747" i="18"/>
  <c r="D1748" i="18"/>
  <c r="D1749" i="18"/>
  <c r="D1750" i="18"/>
  <c r="D1751" i="18"/>
  <c r="D1752" i="18"/>
  <c r="D1753" i="18"/>
  <c r="D1754" i="18"/>
  <c r="D1755" i="18"/>
  <c r="D1756" i="18"/>
  <c r="D1757" i="18"/>
  <c r="D1758" i="18"/>
  <c r="D1759" i="18"/>
  <c r="D1760" i="18"/>
  <c r="D1761" i="18"/>
  <c r="D1762" i="18"/>
  <c r="D1763" i="18"/>
  <c r="D1764" i="18"/>
  <c r="D1765" i="18"/>
  <c r="D1766" i="18"/>
  <c r="D1767" i="18"/>
  <c r="D1768" i="18"/>
  <c r="D1769" i="18"/>
  <c r="D1770" i="18"/>
  <c r="D1771" i="18"/>
  <c r="D1772" i="18"/>
  <c r="D1773" i="18"/>
  <c r="D1774" i="18"/>
  <c r="D1775" i="18"/>
  <c r="D1776" i="18"/>
  <c r="D1777" i="18"/>
  <c r="D1778" i="18"/>
  <c r="D1779" i="18"/>
  <c r="D1780" i="18"/>
  <c r="D1781" i="18"/>
  <c r="D1782" i="18"/>
  <c r="D1783" i="18"/>
  <c r="D1784" i="18"/>
  <c r="D1785" i="18"/>
  <c r="D1786" i="18"/>
  <c r="D1787" i="18"/>
  <c r="D1788" i="18"/>
  <c r="D1789" i="18"/>
  <c r="D1790" i="18"/>
  <c r="D1791" i="18"/>
  <c r="D1792" i="18"/>
  <c r="D1793" i="18"/>
  <c r="D1794" i="18"/>
  <c r="D1795" i="18"/>
  <c r="D1796" i="18"/>
  <c r="D1797" i="18"/>
  <c r="D1798" i="18"/>
  <c r="D1799" i="18"/>
  <c r="D1800" i="18"/>
  <c r="D1801" i="18"/>
  <c r="D1802" i="18"/>
  <c r="D1803" i="18"/>
  <c r="D1804" i="18"/>
  <c r="D1805" i="18"/>
  <c r="D1806" i="18"/>
  <c r="D1807" i="18"/>
  <c r="D1808" i="18"/>
  <c r="D1809" i="18"/>
  <c r="D1810" i="18"/>
  <c r="D1811" i="18"/>
  <c r="D1812" i="18"/>
  <c r="D1813" i="18"/>
  <c r="D1814" i="18"/>
  <c r="D1815" i="18"/>
  <c r="D1816" i="18"/>
  <c r="D1817" i="18"/>
  <c r="D1818" i="18"/>
  <c r="D1819" i="18"/>
  <c r="D1820" i="18"/>
  <c r="D1821" i="18"/>
  <c r="D1822" i="18"/>
  <c r="D1823" i="18"/>
  <c r="D1824" i="18"/>
  <c r="D1825" i="18"/>
  <c r="D1826" i="18"/>
  <c r="D1827" i="18"/>
  <c r="D1828" i="18"/>
  <c r="D1829" i="18"/>
  <c r="D1830" i="18"/>
  <c r="D1831" i="18"/>
  <c r="D1832" i="18"/>
  <c r="D1833" i="18"/>
  <c r="D1834" i="18"/>
  <c r="D1835" i="18"/>
  <c r="D1836" i="18"/>
  <c r="D1837" i="18"/>
  <c r="D1838" i="18"/>
  <c r="D1839" i="18"/>
  <c r="D1840" i="18"/>
  <c r="D1841" i="18"/>
  <c r="D1842" i="18"/>
  <c r="D1843" i="18"/>
  <c r="D1844" i="18"/>
  <c r="D1845" i="18"/>
  <c r="D1846" i="18"/>
  <c r="D1847" i="18"/>
  <c r="D1848" i="18"/>
  <c r="D1849" i="18"/>
  <c r="D1850" i="18"/>
  <c r="D1851" i="18"/>
  <c r="D1852" i="18"/>
  <c r="D1853" i="18"/>
  <c r="D1854" i="18"/>
  <c r="D1855" i="18"/>
  <c r="D1856" i="18"/>
  <c r="D1857" i="18"/>
  <c r="D1858" i="18"/>
  <c r="D1859" i="18"/>
  <c r="D1860" i="18"/>
  <c r="D1861" i="18"/>
  <c r="D1862" i="18"/>
  <c r="D1863" i="18"/>
  <c r="D1864" i="18"/>
  <c r="D1865" i="18"/>
  <c r="D1866" i="18"/>
  <c r="D1867" i="18"/>
  <c r="D1868" i="18"/>
  <c r="D1869" i="18"/>
  <c r="D1870" i="18"/>
  <c r="D1871" i="18"/>
  <c r="D1872" i="18"/>
  <c r="D1873" i="18"/>
  <c r="D1874" i="18"/>
  <c r="D1875" i="18"/>
  <c r="D1876" i="18"/>
  <c r="D1877" i="18"/>
  <c r="D1878" i="18"/>
  <c r="D1879" i="18"/>
  <c r="D1880" i="18"/>
  <c r="D1881" i="18"/>
  <c r="D1882" i="18"/>
  <c r="D1883" i="18"/>
  <c r="D1884" i="18"/>
  <c r="D1885" i="18"/>
  <c r="D1886" i="18"/>
  <c r="D1887" i="18"/>
  <c r="D1888" i="18"/>
  <c r="D1889" i="18"/>
  <c r="D1890" i="18"/>
  <c r="D1891" i="18"/>
  <c r="D1892" i="18"/>
  <c r="D1893" i="18"/>
  <c r="D1894" i="18"/>
  <c r="D1895" i="18"/>
  <c r="D1896" i="18"/>
  <c r="D1897" i="18"/>
  <c r="D1898" i="18"/>
  <c r="D1899" i="18"/>
  <c r="D1900" i="18"/>
  <c r="D1901" i="18"/>
  <c r="D1902" i="18"/>
  <c r="D1903" i="18"/>
  <c r="D1904" i="18"/>
  <c r="D1905" i="18"/>
  <c r="D1906" i="18"/>
  <c r="D1907" i="18"/>
  <c r="D1908" i="18"/>
  <c r="D1909" i="18"/>
  <c r="D1910" i="18"/>
  <c r="D1911" i="18"/>
  <c r="D1912" i="18"/>
  <c r="D1913" i="18"/>
  <c r="D1914" i="18"/>
  <c r="D1915" i="18"/>
  <c r="D1916" i="18"/>
  <c r="D1917" i="18"/>
  <c r="D1918" i="18"/>
  <c r="D1919" i="18"/>
  <c r="D1920" i="18"/>
  <c r="D1921" i="18"/>
  <c r="D1922" i="18"/>
  <c r="D1923" i="18"/>
  <c r="D1924" i="18"/>
  <c r="D1925" i="18"/>
  <c r="D1926" i="18"/>
  <c r="D1927" i="18"/>
  <c r="D1928" i="18"/>
  <c r="D1929" i="18"/>
  <c r="D1930" i="18"/>
  <c r="D1931" i="18"/>
  <c r="D1932" i="18"/>
  <c r="D1933" i="18"/>
  <c r="D1934" i="18"/>
  <c r="D1935" i="18"/>
  <c r="D1936" i="18"/>
  <c r="D1937" i="18"/>
  <c r="D1938" i="18"/>
  <c r="D1939" i="18"/>
  <c r="D1940" i="18"/>
  <c r="D1941" i="18"/>
  <c r="D1942" i="18"/>
  <c r="D1943" i="18"/>
  <c r="D1944" i="18"/>
  <c r="D1945" i="18"/>
  <c r="D1946" i="18"/>
  <c r="D1947" i="18"/>
  <c r="D1948" i="18"/>
  <c r="D1949" i="18"/>
  <c r="D1950" i="18"/>
  <c r="D1951" i="18"/>
  <c r="D1952" i="18"/>
  <c r="D1953" i="18"/>
  <c r="D1954" i="18"/>
  <c r="D1955" i="18"/>
  <c r="D1956" i="18"/>
  <c r="D1957" i="18"/>
  <c r="D1958" i="18"/>
  <c r="D1959" i="18"/>
  <c r="D1960" i="18"/>
  <c r="D1961" i="18"/>
  <c r="D1962" i="18"/>
  <c r="D1963" i="18"/>
  <c r="D1964" i="18"/>
  <c r="D1965" i="18"/>
  <c r="D1966" i="18"/>
  <c r="D1967" i="18"/>
  <c r="D1968" i="18"/>
  <c r="D1969" i="18"/>
  <c r="D1970" i="18"/>
  <c r="D1971" i="18"/>
  <c r="D1972" i="18"/>
  <c r="D1973" i="18"/>
  <c r="D1974" i="18"/>
  <c r="D1975" i="18"/>
  <c r="D1976" i="18"/>
  <c r="D1977" i="18"/>
  <c r="D1978" i="18"/>
  <c r="D1979" i="18"/>
  <c r="D1980" i="18"/>
  <c r="D1981" i="18"/>
  <c r="D1982" i="18"/>
  <c r="D1983" i="18"/>
  <c r="D1984" i="18"/>
  <c r="D1985" i="18"/>
  <c r="D1986" i="18"/>
  <c r="D1987" i="18"/>
  <c r="D1988" i="18"/>
  <c r="D1989" i="18"/>
  <c r="D1990" i="18"/>
  <c r="D1991" i="18"/>
  <c r="D1992" i="18"/>
  <c r="D1993" i="18"/>
  <c r="D1994" i="18"/>
  <c r="D1995" i="18"/>
  <c r="D1996" i="18"/>
  <c r="D1997" i="18"/>
  <c r="D1998" i="18"/>
  <c r="D1999" i="18"/>
  <c r="D2000" i="18"/>
  <c r="D2001" i="18"/>
  <c r="D2002" i="18"/>
  <c r="D2003" i="18"/>
  <c r="D2004" i="18"/>
  <c r="D2005" i="18"/>
  <c r="D2006" i="18"/>
  <c r="D2007" i="18"/>
  <c r="D2008" i="18"/>
  <c r="D2009" i="18"/>
  <c r="D2010" i="18"/>
  <c r="D2011" i="18"/>
  <c r="D2012" i="18"/>
  <c r="D2013" i="18"/>
  <c r="D2014" i="18"/>
  <c r="D2015" i="18"/>
  <c r="D2016" i="18"/>
  <c r="D2017" i="18"/>
  <c r="D2018" i="18"/>
  <c r="D2019" i="18"/>
  <c r="D2020" i="18"/>
  <c r="D2021" i="18"/>
  <c r="D2022" i="18"/>
  <c r="D2023" i="18"/>
  <c r="D2024" i="18"/>
  <c r="D2025" i="18"/>
  <c r="D2026" i="18"/>
  <c r="D2027" i="18"/>
  <c r="D2028" i="18"/>
  <c r="D2029" i="18"/>
  <c r="D2030" i="18"/>
  <c r="D2031" i="18"/>
  <c r="D2032" i="18"/>
  <c r="D2033" i="18"/>
  <c r="D2034" i="18"/>
  <c r="D2035" i="18"/>
  <c r="D2036" i="18"/>
  <c r="D2037" i="18"/>
  <c r="D2038" i="18"/>
  <c r="D2039" i="18"/>
  <c r="D2040" i="18"/>
  <c r="D2041" i="18"/>
  <c r="D2042" i="18"/>
  <c r="D2043" i="18"/>
  <c r="D2044" i="18"/>
  <c r="D2045" i="18"/>
  <c r="D2046" i="18"/>
  <c r="D2047" i="18"/>
  <c r="D2048" i="18"/>
  <c r="D2049" i="18"/>
  <c r="D2050" i="18"/>
  <c r="D2051" i="18"/>
  <c r="D2052" i="18"/>
  <c r="D2053" i="18"/>
  <c r="D2054" i="18"/>
  <c r="D2055" i="18"/>
  <c r="D2056" i="18"/>
  <c r="D2057" i="18"/>
  <c r="D2058" i="18"/>
  <c r="D2059" i="18"/>
  <c r="D2060" i="18"/>
  <c r="D2061" i="18"/>
  <c r="D2062" i="18"/>
  <c r="D2063" i="18"/>
  <c r="D2064" i="18"/>
  <c r="D2065" i="18"/>
  <c r="D2066" i="18"/>
  <c r="D2067" i="18"/>
  <c r="D2068" i="18"/>
  <c r="D2069" i="18"/>
  <c r="D2070" i="18"/>
  <c r="D2071" i="18"/>
  <c r="D2072" i="18"/>
  <c r="D2073" i="18"/>
  <c r="D2074" i="18"/>
  <c r="D2075" i="18"/>
  <c r="D2076" i="18"/>
  <c r="D2077" i="18"/>
  <c r="D2078" i="18"/>
  <c r="D2079" i="18"/>
  <c r="D2080" i="18"/>
  <c r="D2081" i="18"/>
  <c r="D2082" i="18"/>
  <c r="D2083" i="18"/>
  <c r="D2084" i="18"/>
  <c r="D2085" i="18"/>
  <c r="D2086" i="18"/>
  <c r="D2087" i="18"/>
  <c r="D2088" i="18"/>
  <c r="D2089" i="18"/>
  <c r="D2090" i="18"/>
  <c r="D2091" i="18"/>
  <c r="D2092" i="18"/>
  <c r="D2093" i="18"/>
  <c r="D2094" i="18"/>
  <c r="D2095" i="18"/>
  <c r="D2096" i="18"/>
  <c r="D2097" i="18"/>
  <c r="D2098" i="18"/>
  <c r="D2099" i="18"/>
  <c r="D2100" i="18"/>
  <c r="D2101" i="18"/>
  <c r="D2102" i="18"/>
  <c r="D2103" i="18"/>
  <c r="D2104" i="18"/>
  <c r="D2105" i="18"/>
  <c r="D2106" i="18"/>
  <c r="D2107" i="18"/>
  <c r="D2108" i="18"/>
  <c r="D2109" i="18"/>
  <c r="D2110" i="18"/>
  <c r="D2111" i="18"/>
  <c r="D2112" i="18"/>
  <c r="D2113" i="18"/>
  <c r="D2114" i="18"/>
  <c r="D2115" i="18"/>
  <c r="D2116" i="18"/>
  <c r="D2117" i="18"/>
  <c r="D2118" i="18"/>
  <c r="D2119" i="18"/>
  <c r="D2120" i="18"/>
  <c r="D2121" i="18"/>
  <c r="D2122" i="18"/>
  <c r="D2123" i="18"/>
  <c r="D2124" i="18"/>
  <c r="D2125" i="18"/>
  <c r="D2126" i="18"/>
  <c r="D2127" i="18"/>
  <c r="D2128" i="18"/>
  <c r="D2129" i="18"/>
  <c r="D2130" i="18"/>
  <c r="D2131" i="18"/>
  <c r="D2132" i="18"/>
  <c r="D2133" i="18"/>
  <c r="D2134" i="18"/>
  <c r="D2135" i="18"/>
  <c r="D2136" i="18"/>
  <c r="D2137" i="18"/>
  <c r="D2138" i="18"/>
  <c r="D2139" i="18"/>
  <c r="D2140" i="18"/>
  <c r="D2141" i="18"/>
  <c r="D2142" i="18"/>
  <c r="D2143" i="18"/>
  <c r="D2144" i="18"/>
  <c r="D2145" i="18"/>
  <c r="D2146" i="18"/>
  <c r="D2147" i="18"/>
  <c r="D2148" i="18"/>
  <c r="D2149" i="18"/>
  <c r="D2150" i="18"/>
  <c r="D2151" i="18"/>
  <c r="D2152" i="18"/>
  <c r="D2153" i="18"/>
  <c r="D2154" i="18"/>
  <c r="D2155" i="18"/>
  <c r="D2156" i="18"/>
  <c r="D2157" i="18"/>
  <c r="D2158" i="18"/>
  <c r="D2159" i="18"/>
  <c r="D2160" i="18"/>
  <c r="D2161" i="18"/>
  <c r="D2162" i="18"/>
  <c r="D2163" i="18"/>
  <c r="D2164" i="18"/>
  <c r="D2165" i="18"/>
  <c r="D2166" i="18"/>
  <c r="D2167" i="18"/>
  <c r="D2168" i="18"/>
  <c r="D2169" i="18"/>
  <c r="D2170" i="18"/>
  <c r="D2171" i="18"/>
  <c r="D2172" i="18"/>
  <c r="D2173" i="18"/>
  <c r="D2174" i="18"/>
  <c r="D2175" i="18"/>
  <c r="D2176" i="18"/>
  <c r="D2177" i="18"/>
  <c r="D2178" i="18"/>
  <c r="D2179" i="18"/>
  <c r="D2180" i="18"/>
  <c r="D2181" i="18"/>
  <c r="D2182" i="18"/>
  <c r="D2183" i="18"/>
  <c r="D2184" i="18"/>
  <c r="D2185" i="18"/>
  <c r="D2186" i="18"/>
  <c r="D2187" i="18"/>
  <c r="D2188" i="18"/>
  <c r="D2189" i="18"/>
  <c r="D2190" i="18"/>
  <c r="D2191" i="18"/>
  <c r="D2192" i="18"/>
  <c r="D2193" i="18"/>
  <c r="D2194" i="18"/>
  <c r="D2195" i="18"/>
  <c r="D2196" i="18"/>
  <c r="D2197" i="18"/>
  <c r="D2198" i="18"/>
  <c r="D2199" i="18"/>
  <c r="D2200" i="18"/>
  <c r="D2201" i="18"/>
  <c r="D2202" i="18"/>
  <c r="D2203" i="18"/>
  <c r="D2204" i="18"/>
  <c r="D2205" i="18"/>
  <c r="D2206" i="18"/>
  <c r="D2207" i="18"/>
  <c r="D2208" i="18"/>
  <c r="D2209" i="18"/>
  <c r="D2210" i="18"/>
  <c r="D2211" i="18"/>
  <c r="D2212" i="18"/>
  <c r="D2213" i="18"/>
  <c r="D2214" i="18"/>
  <c r="D2215" i="18"/>
  <c r="D2216" i="18"/>
  <c r="D2217" i="18"/>
  <c r="D2218" i="18"/>
  <c r="D2219" i="18"/>
  <c r="D2220" i="18"/>
  <c r="D2221" i="18"/>
  <c r="D2222" i="18"/>
  <c r="D2223" i="18"/>
  <c r="D2224" i="18"/>
  <c r="D2225" i="18"/>
  <c r="D2226" i="18"/>
  <c r="D2227" i="18"/>
  <c r="D2228" i="18"/>
  <c r="D2229" i="18"/>
  <c r="D2230" i="18"/>
  <c r="D2231" i="18"/>
  <c r="D2232" i="18"/>
  <c r="D2233" i="18"/>
  <c r="D2234" i="18"/>
  <c r="D2235" i="18"/>
  <c r="D2236" i="18"/>
  <c r="D2237" i="18"/>
  <c r="D2238" i="18"/>
  <c r="D2239" i="18"/>
  <c r="D2240" i="18"/>
  <c r="D2241" i="18"/>
  <c r="D2242" i="18"/>
  <c r="D2243" i="18"/>
  <c r="D2244" i="18"/>
  <c r="D2245" i="18"/>
  <c r="D2246" i="18"/>
  <c r="D2247" i="18"/>
  <c r="D2248" i="18"/>
  <c r="D2249" i="18"/>
  <c r="D2250" i="18"/>
  <c r="D2251" i="18"/>
  <c r="D2252" i="18"/>
  <c r="D2253" i="18"/>
  <c r="D2254" i="18"/>
  <c r="D2255" i="18"/>
  <c r="D2256" i="18"/>
  <c r="D2257" i="18"/>
  <c r="D2258" i="18"/>
  <c r="D2259" i="18"/>
  <c r="D2260" i="18"/>
  <c r="D2261" i="18"/>
  <c r="D2262" i="18"/>
  <c r="D2263" i="18"/>
  <c r="D2264" i="18"/>
  <c r="D2265" i="18"/>
  <c r="D2266" i="18"/>
  <c r="D2267" i="18"/>
  <c r="D2268" i="18"/>
  <c r="D2269" i="18"/>
  <c r="D2270" i="18"/>
  <c r="D2271" i="18"/>
  <c r="D2272" i="18"/>
  <c r="D2273" i="18"/>
  <c r="D2274" i="18"/>
  <c r="D2275" i="18"/>
  <c r="D2276" i="18"/>
  <c r="D2277" i="18"/>
  <c r="D2278" i="18"/>
  <c r="D2279" i="18"/>
  <c r="D2280" i="18"/>
  <c r="D2281" i="18"/>
  <c r="D2282" i="18"/>
  <c r="D2283" i="18"/>
  <c r="D2284" i="18"/>
  <c r="D2285" i="18"/>
  <c r="D2286" i="18"/>
  <c r="D2287" i="18"/>
  <c r="D2288" i="18"/>
  <c r="D2289" i="18"/>
  <c r="D2290" i="18"/>
  <c r="D2291" i="18"/>
  <c r="D2292" i="18"/>
  <c r="D2293" i="18"/>
  <c r="D2294" i="18"/>
  <c r="D2295" i="18"/>
  <c r="D2296" i="18"/>
  <c r="D2297" i="18"/>
  <c r="D2298" i="18"/>
  <c r="D2299" i="18"/>
  <c r="D2300" i="18"/>
  <c r="D2301" i="18"/>
  <c r="D2302" i="18"/>
  <c r="D2303" i="18"/>
  <c r="D2304" i="18"/>
  <c r="D2305" i="18"/>
  <c r="D2306" i="18"/>
  <c r="D2307" i="18"/>
  <c r="D2308" i="18"/>
  <c r="D2309" i="18"/>
  <c r="D2310" i="18"/>
  <c r="D2311" i="18"/>
  <c r="D2312" i="18"/>
  <c r="D2313" i="18"/>
  <c r="D2314" i="18"/>
  <c r="D2315" i="18"/>
  <c r="D2316" i="18"/>
  <c r="D2317" i="18"/>
  <c r="D2318" i="18"/>
  <c r="D2319" i="18"/>
  <c r="D2320" i="18"/>
  <c r="D2321" i="18"/>
  <c r="D2322" i="18"/>
  <c r="D2323" i="18"/>
  <c r="D2324" i="18"/>
  <c r="D2325" i="18"/>
  <c r="D2326" i="18"/>
  <c r="D2327" i="18"/>
  <c r="D2328" i="18"/>
  <c r="D2329" i="18"/>
  <c r="D2330" i="18"/>
  <c r="D2331" i="18"/>
  <c r="D2332" i="18"/>
  <c r="D2333" i="18"/>
  <c r="D2334" i="18"/>
  <c r="D2335" i="18"/>
  <c r="D2336" i="18"/>
  <c r="D2337" i="18"/>
  <c r="D2338" i="18"/>
  <c r="D2339" i="18"/>
  <c r="D2340" i="18"/>
  <c r="D2341" i="18"/>
  <c r="D2342" i="18"/>
  <c r="D2343" i="18"/>
  <c r="D2344" i="18"/>
  <c r="D2345" i="18"/>
  <c r="D2346" i="18"/>
  <c r="D2347" i="18"/>
  <c r="D2348" i="18"/>
  <c r="D2349" i="18"/>
  <c r="D2350" i="18"/>
  <c r="D2351" i="18"/>
  <c r="D2352" i="18"/>
  <c r="D2353" i="18"/>
  <c r="D2354" i="18"/>
  <c r="D2355" i="18"/>
  <c r="D2356" i="18"/>
  <c r="D2357" i="18"/>
  <c r="D2358" i="18"/>
  <c r="D2359" i="18"/>
  <c r="D2360" i="18"/>
  <c r="D2361" i="18"/>
  <c r="D2362" i="18"/>
  <c r="D2363" i="18"/>
  <c r="D2364" i="18"/>
  <c r="D2365" i="18"/>
  <c r="D2366" i="18"/>
  <c r="D2367" i="18"/>
  <c r="D2368" i="18"/>
  <c r="D2369" i="18"/>
  <c r="D2370" i="18"/>
  <c r="D2371" i="18"/>
  <c r="D2372" i="18"/>
  <c r="D2373" i="18"/>
  <c r="D2374" i="18"/>
  <c r="D2375" i="18"/>
  <c r="D2376" i="18"/>
  <c r="D2377" i="18"/>
  <c r="D2378" i="18"/>
  <c r="D2379" i="18"/>
  <c r="D2380" i="18"/>
  <c r="D2381" i="18"/>
  <c r="D2382" i="18"/>
  <c r="D2383" i="18"/>
  <c r="D2384" i="18"/>
  <c r="D2385" i="18"/>
  <c r="D2386" i="18"/>
  <c r="D2387" i="18"/>
  <c r="D2388" i="18"/>
  <c r="D2389" i="18"/>
  <c r="D2390" i="18"/>
  <c r="D2391" i="18"/>
  <c r="D2392" i="18"/>
  <c r="D2393" i="18"/>
  <c r="D2394" i="18"/>
  <c r="D2395" i="18"/>
  <c r="D2396" i="18"/>
  <c r="D2397" i="18"/>
  <c r="D2398" i="18"/>
  <c r="D2399" i="18"/>
  <c r="D2400" i="18"/>
  <c r="D2401" i="18"/>
  <c r="D2402" i="18"/>
  <c r="D2403" i="18"/>
  <c r="D2404" i="18"/>
  <c r="D2405" i="18"/>
  <c r="D2406" i="18"/>
  <c r="D2407" i="18"/>
  <c r="D2408" i="18"/>
  <c r="D2409" i="18"/>
  <c r="D2410" i="18"/>
  <c r="D2411" i="18"/>
  <c r="D2412" i="18"/>
  <c r="D2413" i="18"/>
  <c r="D2414" i="18"/>
  <c r="D2415" i="18"/>
  <c r="D2416" i="18"/>
  <c r="D2417" i="18"/>
  <c r="D2418" i="18"/>
  <c r="D2419" i="18"/>
  <c r="D2420" i="18"/>
  <c r="D2421" i="18"/>
  <c r="D2422" i="18"/>
  <c r="D2423" i="18"/>
  <c r="D2424" i="18"/>
  <c r="D2425" i="18"/>
  <c r="D2426" i="18"/>
  <c r="D2427" i="18"/>
  <c r="D2428" i="18"/>
  <c r="D2429" i="18"/>
  <c r="D2430" i="18"/>
  <c r="D2431" i="18"/>
  <c r="D2432" i="18"/>
  <c r="D2433" i="18"/>
  <c r="D2434" i="18"/>
  <c r="D2435" i="18"/>
  <c r="D2436" i="18"/>
  <c r="D2437" i="18"/>
  <c r="D2438" i="18"/>
  <c r="D2439" i="18"/>
  <c r="D2440" i="18"/>
  <c r="D2441" i="18"/>
  <c r="D2442" i="18"/>
  <c r="D2443" i="18"/>
  <c r="D2444" i="18"/>
  <c r="D2445" i="18"/>
  <c r="D2446" i="18"/>
  <c r="D2447" i="18"/>
  <c r="D2448" i="18"/>
  <c r="D2449" i="18"/>
  <c r="D2450" i="18"/>
  <c r="D2451" i="18"/>
  <c r="D2452" i="18"/>
  <c r="D2453" i="18"/>
  <c r="D2454" i="18"/>
  <c r="D2455" i="18"/>
  <c r="D2456" i="18"/>
  <c r="D2457" i="18"/>
  <c r="D2458" i="18"/>
  <c r="D2459" i="18"/>
  <c r="D2460" i="18"/>
  <c r="D2461" i="18"/>
  <c r="D2462" i="18"/>
  <c r="D2463" i="18"/>
  <c r="D2464" i="18"/>
  <c r="D2465" i="18"/>
  <c r="D2466" i="18"/>
  <c r="D2467" i="18"/>
  <c r="D2468" i="18"/>
  <c r="D2469" i="18"/>
  <c r="D2470" i="18"/>
  <c r="D2471" i="18"/>
  <c r="D2472" i="18"/>
  <c r="D2473" i="18"/>
  <c r="D2474" i="18"/>
  <c r="D2475" i="18"/>
  <c r="D2476" i="18"/>
  <c r="D2477" i="18"/>
  <c r="D2478" i="18"/>
  <c r="D2479" i="18"/>
  <c r="D2480" i="18"/>
  <c r="D2481" i="18"/>
  <c r="D2482" i="18"/>
  <c r="D2483" i="18"/>
  <c r="D2484" i="18"/>
  <c r="D2485" i="18"/>
  <c r="D2486" i="18"/>
  <c r="D2487" i="18"/>
  <c r="D2488" i="18"/>
  <c r="D2489" i="18"/>
  <c r="D2490" i="18"/>
  <c r="D2491" i="18"/>
  <c r="D2492" i="18"/>
  <c r="D2493" i="18"/>
  <c r="D2494" i="18"/>
  <c r="D2495" i="18"/>
  <c r="D2496" i="18"/>
  <c r="D2497" i="18"/>
  <c r="D2498" i="18"/>
  <c r="D2499" i="18"/>
  <c r="D2500" i="18"/>
  <c r="D2501" i="18"/>
  <c r="D2502" i="18"/>
  <c r="D2503" i="18"/>
  <c r="D2504" i="18"/>
  <c r="D2505" i="18"/>
  <c r="D2506" i="18"/>
  <c r="D2507" i="18"/>
  <c r="D2508" i="18"/>
  <c r="D2509" i="18"/>
  <c r="D2510" i="18"/>
  <c r="D2511" i="18"/>
  <c r="D2512" i="18"/>
  <c r="D2513" i="18"/>
  <c r="D2514" i="18"/>
  <c r="D2515" i="18"/>
  <c r="D2516" i="18"/>
  <c r="D2517" i="18"/>
  <c r="D2518" i="18"/>
  <c r="D2519" i="18"/>
  <c r="D2520" i="18"/>
  <c r="D2521" i="18"/>
  <c r="D2522" i="18"/>
  <c r="D2523" i="18"/>
  <c r="D2524" i="18"/>
  <c r="D2525" i="18"/>
  <c r="D2526" i="18"/>
  <c r="D2527" i="18"/>
  <c r="D2528" i="18"/>
  <c r="D2529" i="18"/>
  <c r="D2530" i="18"/>
  <c r="D2531" i="18"/>
  <c r="D2532" i="18"/>
  <c r="D2533" i="18"/>
  <c r="D2534" i="18"/>
  <c r="D2535" i="18"/>
  <c r="D2536" i="18"/>
  <c r="D2537" i="18"/>
  <c r="D2538" i="18"/>
  <c r="D2539" i="18"/>
  <c r="D2540" i="18"/>
  <c r="D2541" i="18"/>
  <c r="D2542" i="18"/>
  <c r="D2543" i="18"/>
  <c r="D2544" i="18"/>
  <c r="D2545" i="18"/>
  <c r="D2546" i="18"/>
  <c r="D2547" i="18"/>
  <c r="D2548" i="18"/>
  <c r="D2549" i="18"/>
  <c r="D2550" i="18"/>
  <c r="D2551" i="18"/>
  <c r="D2552" i="18"/>
  <c r="D2553" i="18"/>
  <c r="D2554" i="18"/>
  <c r="D2555" i="18"/>
  <c r="D2556" i="18"/>
  <c r="D2557" i="18"/>
  <c r="D2558" i="18"/>
  <c r="D2559" i="18"/>
  <c r="D2560" i="18"/>
  <c r="D2561" i="18"/>
  <c r="D2562" i="18"/>
  <c r="D2563" i="18"/>
  <c r="D2564" i="18"/>
  <c r="D2565" i="18"/>
  <c r="D2566" i="18"/>
  <c r="D2567" i="18"/>
  <c r="D2568" i="18"/>
  <c r="D2569" i="18"/>
  <c r="D2570" i="18"/>
  <c r="D2571" i="18"/>
  <c r="D2572" i="18"/>
  <c r="D2573" i="18"/>
  <c r="D2574" i="18"/>
  <c r="D2575" i="18"/>
  <c r="D2576" i="18"/>
  <c r="D2577" i="18"/>
  <c r="D2578" i="18"/>
  <c r="D2579" i="18"/>
  <c r="D2580" i="18"/>
  <c r="D2581" i="18"/>
  <c r="D2582" i="18"/>
  <c r="D2583" i="18"/>
  <c r="D2584" i="18"/>
  <c r="D2585" i="18"/>
  <c r="D2586" i="18"/>
  <c r="D2587" i="18"/>
  <c r="D2588" i="18"/>
  <c r="D2589" i="18"/>
  <c r="D2590" i="18"/>
  <c r="D2591" i="18"/>
  <c r="D2592" i="18"/>
  <c r="D2593" i="18"/>
  <c r="D2594" i="18"/>
  <c r="D2595" i="18"/>
  <c r="D2596" i="18"/>
  <c r="D2597" i="18"/>
  <c r="D2598" i="18"/>
  <c r="D2599" i="18"/>
  <c r="D2600" i="18"/>
  <c r="D2601" i="18"/>
  <c r="D2602" i="18"/>
  <c r="D2603" i="18"/>
  <c r="D2604" i="18"/>
  <c r="D2605" i="18"/>
  <c r="D2606" i="18"/>
  <c r="D2607" i="18"/>
  <c r="D2608" i="18"/>
  <c r="D2609" i="18"/>
  <c r="D2610" i="18"/>
  <c r="D2611" i="18"/>
  <c r="D2612" i="18"/>
  <c r="D2613" i="18"/>
  <c r="D2614" i="18"/>
  <c r="D2615" i="18"/>
  <c r="D2616" i="18"/>
  <c r="D2617" i="18"/>
  <c r="D2618" i="18"/>
  <c r="D2619" i="18"/>
  <c r="D2620" i="18"/>
  <c r="D2621" i="18"/>
  <c r="D2622" i="18"/>
  <c r="D2623" i="18"/>
  <c r="D2624" i="18"/>
  <c r="D2625" i="18"/>
  <c r="D2626" i="18"/>
  <c r="D2627" i="18"/>
  <c r="D2628" i="18"/>
  <c r="D2629" i="18"/>
  <c r="D2630" i="18"/>
  <c r="D2631" i="18"/>
  <c r="D2632" i="18"/>
  <c r="D2633" i="18"/>
  <c r="D2634" i="18"/>
  <c r="D2635" i="18"/>
  <c r="D2636" i="18"/>
  <c r="D2637" i="18"/>
  <c r="D2638" i="18"/>
  <c r="D2639" i="18"/>
  <c r="D2640" i="18"/>
  <c r="D2641" i="18"/>
  <c r="D2642" i="18"/>
  <c r="D2643" i="18"/>
  <c r="D2644" i="18"/>
  <c r="D2645" i="18"/>
  <c r="D2646" i="18"/>
  <c r="D2647" i="18"/>
  <c r="D2648" i="18"/>
  <c r="D2649" i="18"/>
  <c r="D2650" i="18"/>
  <c r="D2651" i="18"/>
  <c r="D2652" i="18"/>
  <c r="D2653" i="18"/>
  <c r="D2654" i="18"/>
  <c r="D2655" i="18"/>
  <c r="D2656" i="18"/>
  <c r="D2657" i="18"/>
  <c r="D2658" i="18"/>
  <c r="D2659" i="18"/>
  <c r="D2660" i="18"/>
  <c r="D2661" i="18"/>
  <c r="D2662" i="18"/>
  <c r="D2663" i="18"/>
  <c r="D2664" i="18"/>
  <c r="D2665" i="18"/>
  <c r="D2666" i="18"/>
  <c r="D2667" i="18"/>
  <c r="D2668" i="18"/>
  <c r="D2669" i="18"/>
  <c r="D2670" i="18"/>
  <c r="D2671" i="18"/>
  <c r="D2672" i="18"/>
  <c r="D2673" i="18"/>
  <c r="D2674" i="18"/>
  <c r="D2675" i="18"/>
  <c r="D2676" i="18"/>
  <c r="D2677" i="18"/>
  <c r="D2678" i="18"/>
  <c r="D2679" i="18"/>
  <c r="D2680" i="18"/>
  <c r="D2681" i="18"/>
  <c r="D2682" i="18"/>
  <c r="D2683" i="18"/>
  <c r="D2684" i="18"/>
  <c r="D2685" i="18"/>
  <c r="D2686" i="18"/>
  <c r="D2687" i="18"/>
  <c r="D2688" i="18"/>
  <c r="D2689" i="18"/>
  <c r="D2690" i="18"/>
  <c r="D2691" i="18"/>
  <c r="D2692" i="18"/>
  <c r="D2693" i="18"/>
  <c r="D2694" i="18"/>
  <c r="D2695" i="18"/>
  <c r="D2696" i="18"/>
  <c r="D2697" i="18"/>
  <c r="D2698" i="18"/>
  <c r="D2699" i="18"/>
  <c r="D2700" i="18"/>
  <c r="D2701" i="18"/>
  <c r="D2702" i="18"/>
  <c r="D2703" i="18"/>
  <c r="D2704" i="18"/>
  <c r="D2705" i="18"/>
  <c r="D2706" i="18"/>
  <c r="D2707" i="18"/>
  <c r="D2708" i="18"/>
  <c r="D2709" i="18"/>
  <c r="D2710" i="18"/>
  <c r="D2711" i="18"/>
  <c r="D2712" i="18"/>
  <c r="D2713" i="18"/>
  <c r="D2714" i="18"/>
  <c r="D2715" i="18"/>
  <c r="D2716" i="18"/>
  <c r="D2717" i="18"/>
  <c r="D2718" i="18"/>
  <c r="D2719" i="18"/>
  <c r="D2720" i="18"/>
  <c r="D2721" i="18"/>
  <c r="D2722" i="18"/>
  <c r="D2723" i="18"/>
  <c r="D2724" i="18"/>
  <c r="D2725" i="18"/>
  <c r="D2726" i="18"/>
  <c r="D2727" i="18"/>
  <c r="D2728" i="18"/>
  <c r="D2729" i="18"/>
  <c r="D2730" i="18"/>
  <c r="D2731" i="18"/>
  <c r="D2732" i="18"/>
  <c r="D2733" i="18"/>
  <c r="D2734" i="18"/>
  <c r="D2735" i="18"/>
  <c r="D2736" i="18"/>
  <c r="D2737" i="18"/>
  <c r="D2738" i="18"/>
  <c r="D2739" i="18"/>
  <c r="D2740" i="18"/>
  <c r="D2741" i="18"/>
  <c r="D2742" i="18"/>
  <c r="D2743" i="18"/>
  <c r="D2744" i="18"/>
  <c r="D2745" i="18"/>
  <c r="D2746" i="18"/>
  <c r="D2747" i="18"/>
  <c r="D2748" i="18"/>
  <c r="D2749" i="18"/>
  <c r="D2750" i="18"/>
  <c r="D2751" i="18"/>
  <c r="D2752" i="18"/>
  <c r="D2753" i="18"/>
  <c r="D2754" i="18"/>
  <c r="D2755" i="18"/>
  <c r="D2756" i="18"/>
  <c r="D2757" i="18"/>
  <c r="D2758" i="18"/>
  <c r="D2759" i="18"/>
  <c r="D2760" i="18"/>
  <c r="D2761" i="18"/>
  <c r="D2762" i="18"/>
  <c r="F15" i="1"/>
  <c r="E15" i="1"/>
  <c r="D15" i="1"/>
  <c r="C15" i="1"/>
  <c r="B15" i="1"/>
  <c r="F14" i="1"/>
  <c r="E14" i="1"/>
  <c r="D14" i="1"/>
  <c r="C14" i="1"/>
  <c r="B14" i="1"/>
  <c r="F13" i="1"/>
  <c r="E13" i="1"/>
  <c r="D13" i="1"/>
  <c r="C13" i="1"/>
  <c r="B13" i="1"/>
  <c r="F12" i="1"/>
  <c r="E12" i="1"/>
  <c r="D12" i="1"/>
  <c r="C12" i="1"/>
  <c r="F17" i="1"/>
  <c r="E17" i="1"/>
  <c r="D17" i="1"/>
  <c r="C17" i="1"/>
  <c r="B17" i="1"/>
  <c r="F16" i="1"/>
  <c r="E16" i="1"/>
  <c r="D16" i="1"/>
  <c r="C16" i="1"/>
  <c r="B16" i="1"/>
  <c r="B292" i="19"/>
  <c r="C6" i="1"/>
  <c r="B4" i="20"/>
  <c r="B6" i="1"/>
  <c r="D6" i="1" s="1"/>
  <c r="B99" i="19"/>
  <c r="C7" i="1"/>
  <c r="B3" i="20"/>
  <c r="B7" i="1"/>
  <c r="B326" i="19"/>
  <c r="B322" i="19"/>
  <c r="B323" i="19"/>
  <c r="B324" i="19"/>
  <c r="B2" i="19"/>
  <c r="B3" i="19"/>
  <c r="B4" i="19"/>
  <c r="B5" i="19"/>
  <c r="B6" i="19"/>
  <c r="B7" i="19"/>
  <c r="B8" i="19"/>
  <c r="B9" i="19"/>
  <c r="B10" i="19"/>
  <c r="B11" i="19"/>
  <c r="B12" i="19"/>
  <c r="B13" i="19"/>
  <c r="B14" i="19"/>
  <c r="B15" i="19"/>
  <c r="B16" i="19"/>
  <c r="B17" i="19"/>
  <c r="B18" i="19"/>
  <c r="B19" i="19"/>
  <c r="B20" i="19"/>
  <c r="B21" i="19"/>
  <c r="B22" i="19"/>
  <c r="B23" i="19"/>
  <c r="B24" i="19"/>
  <c r="B25" i="19"/>
  <c r="B26" i="19"/>
  <c r="B27" i="19"/>
  <c r="B28" i="19"/>
  <c r="B29" i="19"/>
  <c r="B30" i="19"/>
  <c r="B31" i="19"/>
  <c r="B32" i="19"/>
  <c r="B33" i="19"/>
  <c r="B34" i="19"/>
  <c r="B35" i="19"/>
  <c r="B36" i="19"/>
  <c r="B37" i="19"/>
  <c r="B38" i="19"/>
  <c r="B39" i="19"/>
  <c r="B40" i="19"/>
  <c r="B41" i="19"/>
  <c r="B42" i="19"/>
  <c r="B43" i="19"/>
  <c r="B44" i="19"/>
  <c r="B45" i="19"/>
  <c r="B46" i="19"/>
  <c r="B47" i="19"/>
  <c r="B48" i="19"/>
  <c r="B49" i="19"/>
  <c r="B50" i="19"/>
  <c r="B51" i="19"/>
  <c r="B52" i="19"/>
  <c r="B53" i="19"/>
  <c r="B54" i="19"/>
  <c r="B55" i="19"/>
  <c r="B56" i="19"/>
  <c r="B57" i="19"/>
  <c r="B58" i="19"/>
  <c r="B59" i="19"/>
  <c r="B60" i="19"/>
  <c r="B61" i="19"/>
  <c r="B62" i="19"/>
  <c r="B63" i="19"/>
  <c r="B64" i="19"/>
  <c r="B65" i="19"/>
  <c r="B66" i="19"/>
  <c r="B67" i="19"/>
  <c r="B68" i="19"/>
  <c r="B69" i="19"/>
  <c r="B70" i="19"/>
  <c r="B71" i="19"/>
  <c r="B72" i="19"/>
  <c r="B73" i="19"/>
  <c r="B74" i="19"/>
  <c r="B75" i="19"/>
  <c r="B76" i="19"/>
  <c r="B77" i="19"/>
  <c r="B78" i="19"/>
  <c r="B79" i="19"/>
  <c r="B80" i="19"/>
  <c r="B81" i="19"/>
  <c r="B82" i="19"/>
  <c r="B83" i="19"/>
  <c r="B84" i="19"/>
  <c r="B85" i="19"/>
  <c r="B86" i="19"/>
  <c r="B87" i="19"/>
  <c r="B88" i="19"/>
  <c r="B89" i="19"/>
  <c r="B90" i="19"/>
  <c r="B91" i="19"/>
  <c r="B92" i="19"/>
  <c r="B93" i="19"/>
  <c r="B94" i="19"/>
  <c r="B95" i="19"/>
  <c r="B96" i="19"/>
  <c r="B97" i="19"/>
  <c r="B98" i="19"/>
  <c r="B100" i="19"/>
  <c r="B101" i="19"/>
  <c r="B102" i="19"/>
  <c r="B103" i="19"/>
  <c r="B104" i="19"/>
  <c r="B105" i="19"/>
  <c r="B106" i="19"/>
  <c r="B107" i="19"/>
  <c r="B108" i="19"/>
  <c r="B109" i="19"/>
  <c r="B110" i="19"/>
  <c r="B111" i="19"/>
  <c r="B112" i="19"/>
  <c r="B113" i="19"/>
  <c r="B114" i="19"/>
  <c r="B115" i="19"/>
  <c r="B116" i="19"/>
  <c r="B117" i="19"/>
  <c r="B118" i="19"/>
  <c r="B119" i="19"/>
  <c r="B120" i="19"/>
  <c r="B121" i="19"/>
  <c r="B122" i="19"/>
  <c r="B123" i="19"/>
  <c r="B124" i="19"/>
  <c r="B125" i="19"/>
  <c r="B126" i="19"/>
  <c r="B127" i="19"/>
  <c r="B128" i="19"/>
  <c r="B129" i="19"/>
  <c r="B130" i="19"/>
  <c r="B131" i="19"/>
  <c r="B132" i="19"/>
  <c r="B133" i="19"/>
  <c r="B134" i="19"/>
  <c r="B135" i="19"/>
  <c r="B136" i="19"/>
  <c r="B137" i="19"/>
  <c r="B138" i="19"/>
  <c r="B139" i="19"/>
  <c r="B140" i="19"/>
  <c r="B141" i="19"/>
  <c r="B142" i="19"/>
  <c r="B143" i="19"/>
  <c r="B144" i="19"/>
  <c r="B145" i="19"/>
  <c r="B146" i="19"/>
  <c r="B147" i="19"/>
  <c r="B148" i="19"/>
  <c r="B149" i="19"/>
  <c r="B150" i="19"/>
  <c r="B151" i="19"/>
  <c r="B152" i="19"/>
  <c r="B153" i="19"/>
  <c r="B154" i="19"/>
  <c r="B155" i="19"/>
  <c r="B156" i="19"/>
  <c r="B157" i="19"/>
  <c r="B158" i="19"/>
  <c r="B159" i="19"/>
  <c r="B160" i="19"/>
  <c r="B161" i="19"/>
  <c r="B162" i="19"/>
  <c r="B163" i="19"/>
  <c r="B164" i="19"/>
  <c r="B165" i="19"/>
  <c r="B166" i="19"/>
  <c r="B167" i="19"/>
  <c r="B168" i="19"/>
  <c r="B169" i="19"/>
  <c r="B170" i="19"/>
  <c r="B171" i="19"/>
  <c r="B172" i="19"/>
  <c r="B173" i="19"/>
  <c r="B174" i="19"/>
  <c r="B175" i="19"/>
  <c r="B176" i="19"/>
  <c r="B177" i="19"/>
  <c r="B178" i="19"/>
  <c r="B179" i="19"/>
  <c r="B180" i="19"/>
  <c r="B181" i="19"/>
  <c r="B182" i="19"/>
  <c r="B183" i="19"/>
  <c r="B184" i="19"/>
  <c r="B185" i="19"/>
  <c r="B186" i="19"/>
  <c r="B187" i="19"/>
  <c r="B188" i="19"/>
  <c r="B189" i="19"/>
  <c r="B190" i="19"/>
  <c r="B191" i="19"/>
  <c r="B192" i="19"/>
  <c r="B193" i="19"/>
  <c r="B194" i="19"/>
  <c r="B195" i="19"/>
  <c r="B196" i="19"/>
  <c r="B197" i="19"/>
  <c r="B198" i="19"/>
  <c r="B199" i="19"/>
  <c r="B200" i="19"/>
  <c r="B201" i="19"/>
  <c r="B202" i="19"/>
  <c r="B203" i="19"/>
  <c r="B204" i="19"/>
  <c r="B205" i="19"/>
  <c r="B206" i="19"/>
  <c r="B207" i="19"/>
  <c r="B208" i="19"/>
  <c r="B209" i="19"/>
  <c r="B210" i="19"/>
  <c r="B211" i="19"/>
  <c r="B212" i="19"/>
  <c r="B213" i="19"/>
  <c r="B214" i="19"/>
  <c r="B215" i="19"/>
  <c r="B216" i="19"/>
  <c r="B217" i="19"/>
  <c r="B218" i="19"/>
  <c r="B219" i="19"/>
  <c r="B220" i="19"/>
  <c r="B221" i="19"/>
  <c r="B222" i="19"/>
  <c r="B223" i="19"/>
  <c r="B224" i="19"/>
  <c r="B225" i="19"/>
  <c r="B226" i="19"/>
  <c r="B227" i="19"/>
  <c r="B228" i="19"/>
  <c r="B229" i="19"/>
  <c r="B230" i="19"/>
  <c r="B231" i="19"/>
  <c r="B232" i="19"/>
  <c r="B233" i="19"/>
  <c r="B234" i="19"/>
  <c r="B235" i="19"/>
  <c r="B236" i="19"/>
  <c r="B237" i="19"/>
  <c r="B238" i="19"/>
  <c r="B239" i="19"/>
  <c r="B240" i="19"/>
  <c r="B241" i="19"/>
  <c r="B242" i="19"/>
  <c r="B243" i="19"/>
  <c r="B244" i="19"/>
  <c r="B245" i="19"/>
  <c r="B246" i="19"/>
  <c r="B247" i="19"/>
  <c r="B248" i="19"/>
  <c r="B249" i="19"/>
  <c r="B250" i="19"/>
  <c r="B251" i="19"/>
  <c r="B252" i="19"/>
  <c r="B253" i="19"/>
  <c r="B254" i="19"/>
  <c r="B255" i="19"/>
  <c r="B256" i="19"/>
  <c r="B257" i="19"/>
  <c r="B258" i="19"/>
  <c r="B259" i="19"/>
  <c r="B260" i="19"/>
  <c r="B261" i="19"/>
  <c r="B262" i="19"/>
  <c r="B263" i="19"/>
  <c r="B264" i="19"/>
  <c r="B265" i="19"/>
  <c r="B266" i="19"/>
  <c r="B267" i="19"/>
  <c r="B268" i="19"/>
  <c r="B269" i="19"/>
  <c r="B270" i="19"/>
  <c r="B271" i="19"/>
  <c r="B272" i="19"/>
  <c r="B273" i="19"/>
  <c r="B274" i="19"/>
  <c r="B275" i="19"/>
  <c r="B276" i="19"/>
  <c r="B277" i="19"/>
  <c r="B278" i="19"/>
  <c r="B279" i="19"/>
  <c r="B280" i="19"/>
  <c r="B281" i="19"/>
  <c r="B282" i="19"/>
  <c r="B283" i="19"/>
  <c r="B284" i="19"/>
  <c r="B285" i="19"/>
  <c r="B286" i="19"/>
  <c r="B287" i="19"/>
  <c r="B288" i="19"/>
  <c r="B289" i="19"/>
  <c r="B290" i="19"/>
  <c r="B291" i="19"/>
  <c r="B293" i="19"/>
  <c r="B294" i="19"/>
  <c r="B295" i="19"/>
  <c r="B296" i="19"/>
  <c r="B297" i="19"/>
  <c r="B298" i="19"/>
  <c r="B299" i="19"/>
  <c r="B300" i="19"/>
  <c r="B301" i="19"/>
  <c r="B302" i="19"/>
  <c r="B303" i="19"/>
  <c r="B304" i="19"/>
  <c r="B305" i="19"/>
  <c r="B306" i="19"/>
  <c r="B307" i="19"/>
  <c r="B308" i="19"/>
  <c r="B309" i="19"/>
  <c r="B310" i="19"/>
  <c r="B311" i="19"/>
  <c r="B312" i="19"/>
  <c r="B313" i="19"/>
  <c r="B314" i="19"/>
  <c r="B315" i="19"/>
  <c r="B316" i="19"/>
  <c r="B317" i="19"/>
  <c r="B318" i="19"/>
  <c r="B319" i="19"/>
  <c r="B320" i="19"/>
  <c r="B321" i="19"/>
  <c r="B325" i="19"/>
  <c r="B327" i="19"/>
  <c r="B328" i="19"/>
  <c r="B329" i="19"/>
  <c r="B330" i="19"/>
  <c r="B331" i="19"/>
  <c r="B332" i="19"/>
  <c r="B333" i="19"/>
  <c r="B334" i="19"/>
  <c r="B335" i="19"/>
  <c r="B336" i="19"/>
  <c r="B337" i="19"/>
  <c r="B338" i="19"/>
  <c r="B339" i="19"/>
  <c r="B340" i="19"/>
  <c r="B341" i="19"/>
  <c r="B342" i="19"/>
  <c r="B343" i="19"/>
  <c r="B344" i="19"/>
  <c r="B345" i="19"/>
  <c r="B346" i="19"/>
  <c r="B347" i="19"/>
  <c r="B348" i="19"/>
  <c r="B349" i="19"/>
  <c r="B350" i="19"/>
  <c r="B351" i="19"/>
  <c r="B352" i="19"/>
  <c r="B353" i="19"/>
  <c r="B354" i="19"/>
  <c r="B355" i="19"/>
  <c r="B356" i="19"/>
  <c r="B357" i="19"/>
  <c r="B358" i="19"/>
  <c r="B359" i="19"/>
  <c r="B360" i="19"/>
  <c r="B361" i="19"/>
  <c r="B362" i="19"/>
  <c r="B363" i="19"/>
  <c r="B364" i="19"/>
  <c r="B365" i="19"/>
  <c r="B366" i="19"/>
  <c r="B367" i="19"/>
  <c r="B368" i="19"/>
  <c r="B369" i="19"/>
  <c r="B370" i="19"/>
  <c r="B371" i="19"/>
  <c r="B372" i="19"/>
  <c r="B373" i="19"/>
  <c r="B374" i="19"/>
  <c r="B375" i="19"/>
  <c r="B376" i="19"/>
  <c r="B377" i="19"/>
  <c r="B378" i="19"/>
  <c r="B379" i="19"/>
  <c r="B380" i="19"/>
  <c r="B381" i="19"/>
  <c r="B382" i="19"/>
  <c r="B383" i="19"/>
  <c r="B384" i="19"/>
  <c r="B385" i="19"/>
  <c r="B386" i="19"/>
  <c r="B387" i="19"/>
  <c r="B388" i="19"/>
  <c r="D29" i="9"/>
  <c r="B29" i="9"/>
  <c r="D21" i="9"/>
  <c r="B21" i="9"/>
  <c r="D20" i="9"/>
  <c r="B20" i="9"/>
  <c r="D19" i="9"/>
  <c r="B19" i="9"/>
  <c r="D18" i="9"/>
  <c r="B18" i="9"/>
  <c r="D10" i="9"/>
  <c r="B10" i="9"/>
  <c r="D9" i="9"/>
  <c r="B9" i="9"/>
  <c r="D8" i="9"/>
  <c r="B8" i="9"/>
  <c r="D7" i="9"/>
  <c r="B7" i="9"/>
  <c r="D6" i="9"/>
  <c r="B6" i="9"/>
  <c r="B16" i="8"/>
  <c r="B15" i="8"/>
  <c r="B14" i="8"/>
  <c r="B13" i="8"/>
  <c r="B12" i="8"/>
  <c r="C6" i="8"/>
  <c r="C5" i="8"/>
  <c r="D21" i="7"/>
  <c r="B21" i="7"/>
  <c r="D20" i="7"/>
  <c r="B20" i="7"/>
  <c r="D19" i="7"/>
  <c r="B19" i="7"/>
  <c r="D18" i="7"/>
  <c r="B18" i="7"/>
  <c r="B10" i="7"/>
  <c r="B9" i="7"/>
  <c r="B8" i="7"/>
  <c r="B7" i="7"/>
  <c r="B6" i="7"/>
  <c r="B5" i="7"/>
  <c r="C5" i="1"/>
  <c r="B2" i="20"/>
  <c r="B5" i="1"/>
  <c r="D29" i="1"/>
  <c r="B29" i="1"/>
  <c r="B3" i="21"/>
  <c r="C3" i="21"/>
  <c r="B4" i="21"/>
  <c r="C4" i="21"/>
  <c r="B5" i="21"/>
  <c r="C5" i="21"/>
  <c r="B6" i="21"/>
  <c r="C6" i="21"/>
  <c r="B7" i="21"/>
  <c r="C7" i="21"/>
  <c r="B8" i="21"/>
  <c r="C8" i="21"/>
  <c r="B9" i="21"/>
  <c r="C9" i="21"/>
  <c r="B10" i="21"/>
  <c r="C10" i="21"/>
  <c r="B11" i="21"/>
  <c r="C11" i="21"/>
  <c r="B12" i="21"/>
  <c r="C12" i="21"/>
  <c r="B13" i="21"/>
  <c r="C13" i="21"/>
  <c r="B14" i="21"/>
  <c r="C14" i="21"/>
  <c r="B15" i="21"/>
  <c r="C15" i="21"/>
  <c r="B16" i="21"/>
  <c r="C16" i="21"/>
  <c r="B17" i="21"/>
  <c r="C17" i="21"/>
  <c r="B18" i="21"/>
  <c r="C18" i="21"/>
  <c r="B19" i="21"/>
  <c r="C19" i="21"/>
  <c r="B20" i="21"/>
  <c r="C20" i="21"/>
  <c r="B21" i="21"/>
  <c r="C21" i="21"/>
  <c r="B22" i="21"/>
  <c r="C22" i="21"/>
  <c r="C2" i="21"/>
  <c r="B2" i="21"/>
  <c r="B5" i="20"/>
  <c r="B6" i="20"/>
  <c r="B394" i="25"/>
  <c r="B393" i="25"/>
  <c r="B392" i="25"/>
  <c r="B391" i="25"/>
  <c r="B390" i="25"/>
  <c r="B394" i="24"/>
  <c r="B393" i="24"/>
  <c r="B392" i="24"/>
  <c r="B391" i="24"/>
  <c r="B390" i="24"/>
  <c r="E75" i="1"/>
  <c r="E74" i="1"/>
  <c r="E73" i="1"/>
  <c r="D75" i="1"/>
  <c r="D74" i="1"/>
  <c r="D73" i="1"/>
  <c r="C75" i="1"/>
  <c r="C76" i="1" s="1"/>
  <c r="C74" i="1"/>
  <c r="C73" i="1"/>
  <c r="B75" i="1"/>
  <c r="B74" i="1"/>
  <c r="J75" i="1"/>
  <c r="J74" i="1"/>
  <c r="J73" i="1"/>
  <c r="I75" i="1"/>
  <c r="I74" i="1"/>
  <c r="I73" i="1"/>
  <c r="H75" i="1"/>
  <c r="H74" i="1"/>
  <c r="H73" i="1"/>
  <c r="K73" i="1" s="1"/>
  <c r="G75" i="1"/>
  <c r="G74" i="1"/>
  <c r="K74" i="1" s="1"/>
  <c r="G73" i="1"/>
  <c r="B73" i="1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C11" i="14"/>
  <c r="C10" i="14"/>
  <c r="C9" i="14"/>
  <c r="C8" i="14"/>
  <c r="C7" i="14"/>
  <c r="C6" i="14"/>
  <c r="B250" i="14"/>
  <c r="B249" i="14"/>
  <c r="B248" i="14"/>
  <c r="B247" i="14"/>
  <c r="B81" i="14"/>
  <c r="B80" i="14"/>
  <c r="B79" i="14"/>
  <c r="B78" i="14"/>
  <c r="B77" i="14"/>
  <c r="F72" i="14"/>
  <c r="E72" i="14"/>
  <c r="D72" i="14"/>
  <c r="C72" i="14"/>
  <c r="B72" i="14"/>
  <c r="F71" i="14"/>
  <c r="E71" i="14"/>
  <c r="D71" i="14"/>
  <c r="C71" i="14"/>
  <c r="B71" i="14"/>
  <c r="F70" i="14"/>
  <c r="E70" i="14"/>
  <c r="D70" i="14"/>
  <c r="C70" i="14"/>
  <c r="B70" i="14"/>
  <c r="F69" i="14"/>
  <c r="E69" i="14"/>
  <c r="D69" i="14"/>
  <c r="C69" i="14"/>
  <c r="B69" i="14"/>
  <c r="F68" i="14"/>
  <c r="E68" i="14"/>
  <c r="D68" i="14"/>
  <c r="C68" i="14"/>
  <c r="B68" i="14"/>
  <c r="F67" i="14"/>
  <c r="E67" i="14"/>
  <c r="D67" i="14"/>
  <c r="C67" i="14"/>
  <c r="B67" i="14"/>
  <c r="F66" i="14"/>
  <c r="E66" i="14"/>
  <c r="D66" i="14"/>
  <c r="C66" i="14"/>
  <c r="B66" i="14"/>
  <c r="D60" i="14"/>
  <c r="C60" i="14"/>
  <c r="B60" i="14"/>
  <c r="D59" i="14"/>
  <c r="C59" i="14"/>
  <c r="B59" i="14"/>
  <c r="D58" i="14"/>
  <c r="C58" i="14"/>
  <c r="B58" i="14"/>
  <c r="D57" i="14"/>
  <c r="C57" i="14"/>
  <c r="B57" i="14"/>
  <c r="B50" i="14"/>
  <c r="B49" i="14"/>
  <c r="B48" i="14"/>
  <c r="B43" i="14"/>
  <c r="B42" i="14"/>
  <c r="B41" i="14"/>
  <c r="B40" i="14"/>
  <c r="B39" i="14"/>
  <c r="B34" i="14"/>
  <c r="B33" i="14"/>
  <c r="B32" i="14"/>
  <c r="B31" i="14"/>
  <c r="B30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Q30" i="9"/>
  <c r="P30" i="9"/>
  <c r="O30" i="9"/>
  <c r="M30" i="9"/>
  <c r="L30" i="9"/>
  <c r="K30" i="9"/>
  <c r="J30" i="9"/>
  <c r="I30" i="9"/>
  <c r="D30" i="9"/>
  <c r="B30" i="9"/>
  <c r="B6" i="8"/>
  <c r="B5" i="8"/>
  <c r="E10" i="4"/>
  <c r="D10" i="4"/>
  <c r="C10" i="4"/>
  <c r="B10" i="4"/>
  <c r="E9" i="4"/>
  <c r="D9" i="4"/>
  <c r="C9" i="4"/>
  <c r="B9" i="4"/>
  <c r="E8" i="4"/>
  <c r="D8" i="4"/>
  <c r="C8" i="4"/>
  <c r="B8" i="4"/>
  <c r="E7" i="4"/>
  <c r="D7" i="4"/>
  <c r="C7" i="4"/>
  <c r="B7" i="4"/>
  <c r="E6" i="4"/>
  <c r="D6" i="4"/>
  <c r="C6" i="4"/>
  <c r="B6" i="4"/>
  <c r="D46" i="3"/>
  <c r="C46" i="3"/>
  <c r="B46" i="3"/>
  <c r="D45" i="3"/>
  <c r="C45" i="3"/>
  <c r="B45" i="3"/>
  <c r="D44" i="3"/>
  <c r="C44" i="3"/>
  <c r="B44" i="3"/>
  <c r="D43" i="3"/>
  <c r="C43" i="3"/>
  <c r="B43" i="3"/>
  <c r="D42" i="3"/>
  <c r="C42" i="3"/>
  <c r="B42" i="3"/>
  <c r="D41" i="3"/>
  <c r="C41" i="3"/>
  <c r="B41" i="3"/>
  <c r="D36" i="3"/>
  <c r="C36" i="3"/>
  <c r="B36" i="3"/>
  <c r="D35" i="3"/>
  <c r="C35" i="3"/>
  <c r="B35" i="3"/>
  <c r="D34" i="3"/>
  <c r="C34" i="3"/>
  <c r="B34" i="3"/>
  <c r="D33" i="3"/>
  <c r="C33" i="3"/>
  <c r="B33" i="3"/>
  <c r="D32" i="3"/>
  <c r="C32" i="3"/>
  <c r="B32" i="3"/>
  <c r="D31" i="3"/>
  <c r="C31" i="3"/>
  <c r="B31" i="3"/>
  <c r="D30" i="3"/>
  <c r="C30" i="3"/>
  <c r="B30" i="3"/>
  <c r="D29" i="3"/>
  <c r="C29" i="3"/>
  <c r="B29" i="3"/>
  <c r="D24" i="3"/>
  <c r="C24" i="3"/>
  <c r="B24" i="3"/>
  <c r="D23" i="3"/>
  <c r="C23" i="3"/>
  <c r="B23" i="3"/>
  <c r="D22" i="3"/>
  <c r="C22" i="3"/>
  <c r="B22" i="3"/>
  <c r="D21" i="3"/>
  <c r="C21" i="3"/>
  <c r="B21" i="3"/>
  <c r="D20" i="3"/>
  <c r="C20" i="3"/>
  <c r="B20" i="3"/>
  <c r="D19" i="3"/>
  <c r="C19" i="3"/>
  <c r="B19" i="3"/>
  <c r="D18" i="3"/>
  <c r="C18" i="3"/>
  <c r="B18" i="3"/>
  <c r="D17" i="3"/>
  <c r="C17" i="3"/>
  <c r="B17" i="3"/>
  <c r="D12" i="3"/>
  <c r="C12" i="3"/>
  <c r="B12" i="3"/>
  <c r="D11" i="3"/>
  <c r="C11" i="3"/>
  <c r="B11" i="3"/>
  <c r="D10" i="3"/>
  <c r="C10" i="3"/>
  <c r="B10" i="3"/>
  <c r="D9" i="3"/>
  <c r="C9" i="3"/>
  <c r="B9" i="3"/>
  <c r="D8" i="3"/>
  <c r="C8" i="3"/>
  <c r="B8" i="3"/>
  <c r="D7" i="3"/>
  <c r="C7" i="3"/>
  <c r="B7" i="3"/>
  <c r="D6" i="3"/>
  <c r="C6" i="3"/>
  <c r="B6" i="3"/>
  <c r="D5" i="3"/>
  <c r="C5" i="3"/>
  <c r="B5" i="3"/>
  <c r="D46" i="2"/>
  <c r="C46" i="2"/>
  <c r="B46" i="2"/>
  <c r="D45" i="2"/>
  <c r="C45" i="2"/>
  <c r="B45" i="2"/>
  <c r="D44" i="2"/>
  <c r="C44" i="2"/>
  <c r="B44" i="2"/>
  <c r="D43" i="2"/>
  <c r="C43" i="2"/>
  <c r="B43" i="2"/>
  <c r="D42" i="2"/>
  <c r="C42" i="2"/>
  <c r="B42" i="2"/>
  <c r="D41" i="2"/>
  <c r="C41" i="2"/>
  <c r="B41" i="2"/>
  <c r="D36" i="2"/>
  <c r="C36" i="2"/>
  <c r="B36" i="2"/>
  <c r="D35" i="2"/>
  <c r="C35" i="2"/>
  <c r="B35" i="2"/>
  <c r="D34" i="2"/>
  <c r="C34" i="2"/>
  <c r="B34" i="2"/>
  <c r="D33" i="2"/>
  <c r="C33" i="2"/>
  <c r="B33" i="2"/>
  <c r="D32" i="2"/>
  <c r="C32" i="2"/>
  <c r="B32" i="2"/>
  <c r="D31" i="2"/>
  <c r="C31" i="2"/>
  <c r="B31" i="2"/>
  <c r="D30" i="2"/>
  <c r="C30" i="2"/>
  <c r="B30" i="2"/>
  <c r="D29" i="2"/>
  <c r="C29" i="2"/>
  <c r="B29" i="2"/>
  <c r="D24" i="2"/>
  <c r="C24" i="2"/>
  <c r="B24" i="2"/>
  <c r="D23" i="2"/>
  <c r="C23" i="2"/>
  <c r="B23" i="2"/>
  <c r="D22" i="2"/>
  <c r="C22" i="2"/>
  <c r="B22" i="2"/>
  <c r="D21" i="2"/>
  <c r="C21" i="2"/>
  <c r="B21" i="2"/>
  <c r="D20" i="2"/>
  <c r="C20" i="2"/>
  <c r="B20" i="2"/>
  <c r="D19" i="2"/>
  <c r="C19" i="2"/>
  <c r="B19" i="2"/>
  <c r="D18" i="2"/>
  <c r="C18" i="2"/>
  <c r="B18" i="2"/>
  <c r="D17" i="2"/>
  <c r="C17" i="2"/>
  <c r="B17" i="2"/>
  <c r="D12" i="2"/>
  <c r="C12" i="2"/>
  <c r="B12" i="2"/>
  <c r="D11" i="2"/>
  <c r="C11" i="2"/>
  <c r="B11" i="2"/>
  <c r="D10" i="2"/>
  <c r="C10" i="2"/>
  <c r="B10" i="2"/>
  <c r="D9" i="2"/>
  <c r="C9" i="2"/>
  <c r="B9" i="2"/>
  <c r="D8" i="2"/>
  <c r="C8" i="2"/>
  <c r="B8" i="2"/>
  <c r="D7" i="2"/>
  <c r="C7" i="2"/>
  <c r="B7" i="2"/>
  <c r="D6" i="2"/>
  <c r="C6" i="2"/>
  <c r="B6" i="2"/>
  <c r="D5" i="2"/>
  <c r="C5" i="2"/>
  <c r="B5" i="2"/>
  <c r="H64" i="1"/>
  <c r="G64" i="1"/>
  <c r="F64" i="1"/>
  <c r="I64" i="1" s="1"/>
  <c r="D64" i="1"/>
  <c r="C64" i="1"/>
  <c r="B64" i="1"/>
  <c r="H63" i="1"/>
  <c r="G63" i="1"/>
  <c r="F63" i="1"/>
  <c r="I63" i="1" s="1"/>
  <c r="D63" i="1"/>
  <c r="C63" i="1"/>
  <c r="B63" i="1"/>
  <c r="E63" i="1" s="1"/>
  <c r="H62" i="1"/>
  <c r="G62" i="1"/>
  <c r="I62" i="1" s="1"/>
  <c r="F62" i="1"/>
  <c r="D62" i="1"/>
  <c r="C62" i="1"/>
  <c r="B62" i="1"/>
  <c r="E62" i="1" s="1"/>
  <c r="H61" i="1"/>
  <c r="G61" i="1"/>
  <c r="F61" i="1"/>
  <c r="F65" i="1" s="1"/>
  <c r="D61" i="1"/>
  <c r="C61" i="1"/>
  <c r="B61" i="1"/>
  <c r="H52" i="1"/>
  <c r="G52" i="1"/>
  <c r="F52" i="1"/>
  <c r="I52" i="1" s="1"/>
  <c r="D52" i="1"/>
  <c r="C52" i="1"/>
  <c r="B52" i="1"/>
  <c r="H51" i="1"/>
  <c r="G51" i="1"/>
  <c r="F51" i="1"/>
  <c r="D51" i="1"/>
  <c r="C51" i="1"/>
  <c r="C53" i="1" s="1"/>
  <c r="B51" i="1"/>
  <c r="E51" i="1" s="1"/>
  <c r="H50" i="1"/>
  <c r="G50" i="1"/>
  <c r="F50" i="1"/>
  <c r="D50" i="1"/>
  <c r="C50" i="1"/>
  <c r="B50" i="1"/>
  <c r="H49" i="1"/>
  <c r="G49" i="1"/>
  <c r="F49" i="1"/>
  <c r="F53" i="1" s="1"/>
  <c r="D49" i="1"/>
  <c r="C49" i="1"/>
  <c r="B49" i="1"/>
  <c r="J41" i="1"/>
  <c r="I41" i="1"/>
  <c r="H41" i="1"/>
  <c r="G41" i="1"/>
  <c r="E41" i="1"/>
  <c r="D41" i="1"/>
  <c r="C41" i="1"/>
  <c r="B41" i="1"/>
  <c r="J40" i="1"/>
  <c r="I40" i="1"/>
  <c r="H40" i="1"/>
  <c r="G40" i="1"/>
  <c r="K40" i="1" s="1"/>
  <c r="E40" i="1"/>
  <c r="D40" i="1"/>
  <c r="C40" i="1"/>
  <c r="B40" i="1"/>
  <c r="J39" i="1"/>
  <c r="I39" i="1"/>
  <c r="H39" i="1"/>
  <c r="G39" i="1"/>
  <c r="K39" i="1" s="1"/>
  <c r="E39" i="1"/>
  <c r="D39" i="1"/>
  <c r="C39" i="1"/>
  <c r="B39" i="1"/>
  <c r="J31" i="1"/>
  <c r="I31" i="1"/>
  <c r="H31" i="1"/>
  <c r="G31" i="1"/>
  <c r="K31" i="1" s="1"/>
  <c r="E31" i="1"/>
  <c r="D31" i="1"/>
  <c r="C31" i="1"/>
  <c r="B31" i="1"/>
  <c r="F31" i="1" s="1"/>
  <c r="J30" i="1"/>
  <c r="I30" i="1"/>
  <c r="H30" i="1"/>
  <c r="G30" i="1"/>
  <c r="K30" i="1" s="1"/>
  <c r="E30" i="1"/>
  <c r="D30" i="1"/>
  <c r="C30" i="1"/>
  <c r="B30" i="1"/>
  <c r="J29" i="1"/>
  <c r="I29" i="1"/>
  <c r="H29" i="1"/>
  <c r="G29" i="1"/>
  <c r="K29" i="1" s="1"/>
  <c r="E29" i="1"/>
  <c r="C29" i="1"/>
  <c r="J28" i="1"/>
  <c r="I28" i="1"/>
  <c r="H28" i="1"/>
  <c r="G28" i="1"/>
  <c r="K28" i="1" s="1"/>
  <c r="E28" i="1"/>
  <c r="D28" i="1"/>
  <c r="C28" i="1"/>
  <c r="B28" i="1"/>
  <c r="J27" i="1"/>
  <c r="I27" i="1"/>
  <c r="H27" i="1"/>
  <c r="G27" i="1"/>
  <c r="K27" i="1" s="1"/>
  <c r="E27" i="1"/>
  <c r="D27" i="1"/>
  <c r="C27" i="1"/>
  <c r="B27" i="1"/>
  <c r="J26" i="1"/>
  <c r="I26" i="1"/>
  <c r="H26" i="1"/>
  <c r="G26" i="1"/>
  <c r="E26" i="1"/>
  <c r="D26" i="1"/>
  <c r="C26" i="1"/>
  <c r="B26" i="1"/>
  <c r="B394" i="19"/>
  <c r="B393" i="19"/>
  <c r="B392" i="19"/>
  <c r="B391" i="19"/>
  <c r="B390" i="19"/>
  <c r="D48" i="2"/>
  <c r="C48" i="2"/>
  <c r="B48" i="2"/>
  <c r="D47" i="2"/>
  <c r="C47" i="2"/>
  <c r="B47" i="2"/>
  <c r="D48" i="3"/>
  <c r="C48" i="3"/>
  <c r="B48" i="3"/>
  <c r="D47" i="3"/>
  <c r="C47" i="3"/>
  <c r="B47" i="3"/>
  <c r="E12" i="4"/>
  <c r="D12" i="4"/>
  <c r="C12" i="4"/>
  <c r="B12" i="4"/>
  <c r="E11" i="4"/>
  <c r="D11" i="4"/>
  <c r="C11" i="4"/>
  <c r="B11" i="4"/>
  <c r="D28" i="8"/>
  <c r="B28" i="8"/>
  <c r="D27" i="8"/>
  <c r="B27" i="8"/>
  <c r="D26" i="8"/>
  <c r="B26" i="8"/>
  <c r="D25" i="8"/>
  <c r="B25" i="8"/>
  <c r="D24" i="8"/>
  <c r="B24" i="8"/>
  <c r="B45" i="9"/>
  <c r="S30" i="9"/>
  <c r="R30" i="9"/>
  <c r="B260" i="14"/>
  <c r="B259" i="14"/>
  <c r="B258" i="14"/>
  <c r="B257" i="14"/>
  <c r="B256" i="14"/>
  <c r="B255" i="14"/>
  <c r="B254" i="14"/>
  <c r="B253" i="14"/>
  <c r="B252" i="14"/>
  <c r="B251" i="14"/>
  <c r="M31" i="9"/>
  <c r="S31" i="9"/>
  <c r="C26" i="14"/>
  <c r="B26" i="14"/>
  <c r="D21" i="14"/>
  <c r="B51" i="14"/>
  <c r="L31" i="9"/>
  <c r="P31" i="9"/>
  <c r="B22" i="9"/>
  <c r="I31" i="9"/>
  <c r="K31" i="9"/>
  <c r="Q31" i="9"/>
  <c r="B11" i="9"/>
  <c r="C6" i="9"/>
  <c r="J31" i="9"/>
  <c r="R31" i="9"/>
  <c r="O31" i="9"/>
  <c r="N30" i="9"/>
  <c r="N31" i="9"/>
  <c r="T30" i="9"/>
  <c r="T31" i="9"/>
  <c r="D22" i="9"/>
  <c r="B17" i="8"/>
  <c r="D11" i="9"/>
  <c r="E9" i="9"/>
  <c r="B11" i="7"/>
  <c r="B22" i="7"/>
  <c r="E21" i="7"/>
  <c r="D22" i="7"/>
  <c r="D17" i="14"/>
  <c r="D20" i="14"/>
  <c r="D7" i="14"/>
  <c r="D22" i="14"/>
  <c r="D16" i="14"/>
  <c r="D18" i="14"/>
  <c r="D14" i="14"/>
  <c r="D19" i="14"/>
  <c r="D23" i="14"/>
  <c r="D24" i="14"/>
  <c r="D8" i="14"/>
  <c r="D11" i="14"/>
  <c r="D25" i="14"/>
  <c r="D9" i="14"/>
  <c r="D12" i="14"/>
  <c r="D15" i="14"/>
  <c r="D10" i="14"/>
  <c r="D13" i="14"/>
  <c r="D6" i="14"/>
  <c r="C9" i="9"/>
  <c r="C7" i="9"/>
  <c r="E21" i="9"/>
  <c r="E30" i="9"/>
  <c r="C20" i="9"/>
  <c r="C29" i="9"/>
  <c r="C30" i="9"/>
  <c r="C19" i="9"/>
  <c r="C10" i="9"/>
  <c r="C18" i="9"/>
  <c r="C8" i="9"/>
  <c r="E29" i="9"/>
  <c r="C21" i="9"/>
  <c r="E18" i="9"/>
  <c r="E20" i="9"/>
  <c r="E19" i="9"/>
  <c r="E7" i="9"/>
  <c r="E6" i="9"/>
  <c r="E8" i="9"/>
  <c r="E10" i="9"/>
  <c r="E19" i="7"/>
  <c r="C19" i="7"/>
  <c r="C20" i="7"/>
  <c r="C18" i="7"/>
  <c r="E18" i="7"/>
  <c r="E20" i="7"/>
  <c r="C21" i="7"/>
  <c r="B29" i="8"/>
  <c r="C28" i="8"/>
  <c r="D29" i="8"/>
  <c r="E24" i="8"/>
  <c r="E5" i="4"/>
  <c r="D5" i="4"/>
  <c r="B5" i="4"/>
  <c r="C5" i="4"/>
  <c r="C24" i="8"/>
  <c r="F74" i="1"/>
  <c r="B76" i="1"/>
  <c r="E61" i="1"/>
  <c r="E50" i="1"/>
  <c r="I51" i="1"/>
  <c r="I49" i="1"/>
  <c r="K41" i="1"/>
  <c r="D5" i="1"/>
  <c r="K26" i="1"/>
  <c r="E7" i="14"/>
  <c r="F7" i="14"/>
  <c r="E8" i="14"/>
  <c r="F8" i="14"/>
  <c r="E9" i="14"/>
  <c r="F9" i="14"/>
  <c r="E10" i="14"/>
  <c r="E11" i="14"/>
  <c r="E12" i="14"/>
  <c r="E13" i="14"/>
  <c r="E14" i="14"/>
  <c r="E15" i="14"/>
  <c r="E16" i="14"/>
  <c r="E17" i="14"/>
  <c r="E18" i="14"/>
  <c r="E19" i="14"/>
  <c r="F19" i="14"/>
  <c r="E20" i="14"/>
  <c r="E21" i="14"/>
  <c r="E22" i="14"/>
  <c r="E23" i="14"/>
  <c r="E24" i="14"/>
  <c r="E25" i="14"/>
  <c r="E6" i="14"/>
  <c r="F16" i="14"/>
  <c r="F22" i="14"/>
  <c r="F25" i="14"/>
  <c r="F24" i="14"/>
  <c r="F23" i="14"/>
  <c r="F15" i="14"/>
  <c r="F11" i="14"/>
  <c r="F14" i="14"/>
  <c r="F17" i="14"/>
  <c r="F6" i="14"/>
  <c r="F18" i="14"/>
  <c r="F10" i="14"/>
  <c r="F21" i="14"/>
  <c r="F13" i="14"/>
  <c r="F20" i="14"/>
  <c r="F12" i="14"/>
  <c r="C49" i="14"/>
  <c r="C50" i="14"/>
  <c r="C48" i="14"/>
  <c r="E26" i="8"/>
  <c r="E27" i="8"/>
  <c r="E28" i="8"/>
  <c r="E29" i="8"/>
  <c r="E25" i="8"/>
  <c r="C25" i="8"/>
  <c r="C26" i="8"/>
  <c r="C27" i="8"/>
  <c r="C29" i="8"/>
  <c r="D6" i="8"/>
  <c r="D5" i="8"/>
  <c r="C13" i="8"/>
  <c r="C14" i="8"/>
  <c r="C15" i="8"/>
  <c r="C16" i="8"/>
  <c r="C17" i="8"/>
  <c r="C12" i="8"/>
  <c r="C6" i="7"/>
  <c r="C7" i="7"/>
  <c r="C8" i="7"/>
  <c r="C9" i="7"/>
  <c r="C10" i="7"/>
  <c r="C11" i="7"/>
  <c r="C5" i="7"/>
  <c r="F26" i="1" l="1"/>
  <c r="F28" i="1"/>
  <c r="F41" i="1"/>
  <c r="I50" i="1"/>
  <c r="G53" i="1"/>
  <c r="I53" i="1" s="1"/>
  <c r="H53" i="1"/>
  <c r="B53" i="1"/>
  <c r="E53" i="1" s="1"/>
  <c r="B65" i="1"/>
  <c r="F75" i="1"/>
  <c r="D7" i="1"/>
  <c r="F27" i="1"/>
  <c r="F29" i="1"/>
  <c r="F40" i="1"/>
  <c r="E52" i="1"/>
  <c r="E64" i="1"/>
  <c r="G65" i="1"/>
  <c r="D65" i="1"/>
  <c r="H65" i="1"/>
  <c r="D53" i="1"/>
  <c r="H76" i="1"/>
  <c r="K75" i="1"/>
  <c r="F30" i="1"/>
  <c r="F39" i="1"/>
  <c r="E49" i="1"/>
  <c r="I76" i="1"/>
  <c r="J76" i="1"/>
  <c r="D76" i="1"/>
  <c r="I65" i="1"/>
  <c r="C65" i="1"/>
  <c r="I61" i="1"/>
  <c r="F73" i="1"/>
  <c r="E76" i="1"/>
  <c r="G76" i="1"/>
  <c r="K76" i="1" s="1"/>
  <c r="E65" i="1" l="1"/>
  <c r="F7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tc={162EAAA2-00B0-4843-B51B-285171E0D094}</author>
    <author>tc={BDFDBEA9-AEA0-44CD-B9F3-21460D01DEE1}</author>
    <author>tc={E5E8337D-DC63-4BE3-AD41-598326F4855D}</author>
    <author>tc={679E9CD4-DF0D-4F1D-9CAB-EF6DFE051245}</author>
    <author>tc={B94A1087-1B8F-404A-9AF1-90DE5AF799FC}</author>
    <author>tc={C899ABE4-4055-48E7-87D9-EF781BE8E2BF}</author>
    <author>tc={6EAF8305-0F40-4729-9E6B-18DC47B99E59}</author>
    <author>tc={29EE7E4B-1535-4A72-A018-3BF2CB568BD3}</author>
    <author>tc={FF414DE8-E9C1-47EC-94FA-AC423CAD405B}</author>
    <author>tc={74ABB4BA-E56C-44BE-A15B-286ED1C56969}</author>
    <author>tc={808721BD-A7D2-4517-9DBF-99A5B1945463}</author>
  </authors>
  <commentList>
    <comment ref="B7" authorId="0" shapeId="0" xr:uid="{00000000-0006-0000-0C00-000001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Not adjusted for inflation into 2017 dollars</t>
      </text>
    </comment>
    <comment ref="B24" authorId="1" shapeId="0" xr:uid="{00000000-0006-0000-0C00-000002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I assume we need HAMFI rather than AMI here since AMI is not part of CHAS data.  
I also assume the Total is the total for 0-100% HAMFI (excluding &gt; 100% HAMFI)</t>
      </text>
    </comment>
    <comment ref="A30" authorId="2" shapeId="0" xr:uid="{00000000-0006-0000-0C00-000003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I assume we need 30 - 50% rather than &gt; 30% here.</t>
      </text>
    </comment>
    <comment ref="B37" authorId="3" shapeId="0" xr:uid="{00000000-0006-0000-0C00-000004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I assume we need HAMFI rather than AMI here since AMI is not part of CHAS data.  
I also assume the Total is the total for 0-100% HAMFI (excluding &gt; 100% HAMFI)</t>
      </text>
    </comment>
    <comment ref="A45" authorId="4" shapeId="0" xr:uid="{00000000-0006-0000-0C00-000005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I assume we need 30 - 50% rather than &gt; 30% here.</t>
      </text>
    </comment>
    <comment ref="B47" authorId="5" shapeId="0" xr:uid="{00000000-0006-0000-0C00-000006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I assume we need HAMFI rather than AMI here since AMI is not part of CHAS data.  
I also assume the Total is the total for 0-100% HAMFI (excluding &gt; 100% HAMFI)</t>
      </text>
    </comment>
    <comment ref="F47" authorId="6" shapeId="0" xr:uid="{00000000-0006-0000-0C00-000007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I assume we need HAMFI rather than AMI here since AMI is not part of CHAS data.  
I also assume the Total is the total for 0-100% HAMFI (excluding &gt; 100% HAMFI)</t>
      </text>
    </comment>
    <comment ref="B59" authorId="7" shapeId="0" xr:uid="{00000000-0006-0000-0C00-000008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I assume we need HAMFI rather than AMI here since AMI is not part of CHAS data.  
I also assume the Total is the total for 0-100% HAMFI (excluding &gt; 100% HAMFI)</t>
      </text>
    </comment>
    <comment ref="F59" authorId="8" shapeId="0" xr:uid="{00000000-0006-0000-0C00-000009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I assume we need HAMFI rather than AMI here since AMI is not part of CHAS data.  
I also assume the Total is the total for 0-100% HAMFI (excluding &gt; 100% HAMFI)</t>
      </text>
    </comment>
    <comment ref="B71" authorId="9" shapeId="0" xr:uid="{00000000-0006-0000-0C00-00000A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I assume we need HAMFI rather than AMI here since AMI is not part of CHAS data.  
I also assume the Total is the total for 0-100% HAMFI (excluding &gt; 100% HAMFI)</t>
      </text>
    </comment>
    <comment ref="G71" authorId="10" shapeId="0" xr:uid="{00000000-0006-0000-0C00-00000B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I assume we need HAMFI rather than AMI here since AMI is not part of CHAS data.  
I also assume the Total is the total for 0-100% HAMFI (excluding &gt; 100% HAMFI)</t>
      </text>
    </comment>
  </commentList>
</comments>
</file>

<file path=xl/sharedStrings.xml><?xml version="1.0" encoding="utf-8"?>
<sst xmlns="http://schemas.openxmlformats.org/spreadsheetml/2006/main" count="56458" uniqueCount="4309">
  <si>
    <t>Demographics</t>
  </si>
  <si>
    <t>% Change</t>
  </si>
  <si>
    <t>Population</t>
  </si>
  <si>
    <t>Households</t>
  </si>
  <si>
    <t>Median Income</t>
  </si>
  <si>
    <t>Table 5 - Housing Needs Assessment Demographics</t>
  </si>
  <si>
    <t>Table 6 - Total Households Table</t>
  </si>
  <si>
    <t>0-30% HAMFI</t>
  </si>
  <si>
    <t>&gt;30-50% HAMFI</t>
  </si>
  <si>
    <t>&gt;50-80% HAMFI</t>
  </si>
  <si>
    <t>&gt;80-100% HAMFI</t>
  </si>
  <si>
    <t>&gt;100% HAMFI</t>
  </si>
  <si>
    <t>Total Households *</t>
  </si>
  <si>
    <t>Small Family Households *</t>
  </si>
  <si>
    <t>Large Family Households *</t>
  </si>
  <si>
    <t>Household contains at least one person 62-74 years of age</t>
  </si>
  <si>
    <t>Household contains at least one person age 75 or older</t>
  </si>
  <si>
    <t>Households with one or more children 6 years old or younger *</t>
  </si>
  <si>
    <t>NA-10 Housing Needs Assessment</t>
  </si>
  <si>
    <t>Table 7 - Housing Problems Table</t>
  </si>
  <si>
    <t>Renter</t>
  </si>
  <si>
    <t>Owner</t>
  </si>
  <si>
    <t>0-30% AMI</t>
  </si>
  <si>
    <t>&gt;30-50% AMI</t>
  </si>
  <si>
    <t>&gt;50-80% AMI</t>
  </si>
  <si>
    <t>&gt;80-100% AMI</t>
  </si>
  <si>
    <t>Total</t>
  </si>
  <si>
    <t>NUMBER OF HOUSEHOLDS</t>
  </si>
  <si>
    <t>Substandard Housing - Lacking complete plumbing or kitchen facilities</t>
  </si>
  <si>
    <t>Housing cost burden greater than 50% of income (and none of the above problems)</t>
  </si>
  <si>
    <t>Zero/negative Income (and none of the above problems)</t>
  </si>
  <si>
    <t>Having 1 or more of four housing problems</t>
  </si>
  <si>
    <t>Having none of four housing problems</t>
  </si>
  <si>
    <t>Household has negative income, but none of the other housing problems</t>
  </si>
  <si>
    <t>Small Related</t>
  </si>
  <si>
    <t>Large Related</t>
  </si>
  <si>
    <t>Elderly</t>
  </si>
  <si>
    <t>Other</t>
  </si>
  <si>
    <t>Total need by income</t>
  </si>
  <si>
    <t>Table 10 - Cost Burden &gt;50%</t>
  </si>
  <si>
    <t>Single family households</t>
  </si>
  <si>
    <t>Multiple, unrelated family households</t>
  </si>
  <si>
    <t>Other, non-family households</t>
  </si>
  <si>
    <t>NA-15 Disproportionately Greater Need: Housing Problems</t>
  </si>
  <si>
    <t>Table 13 - Disproportionately Greater Need 0-30% AMI</t>
  </si>
  <si>
    <t>Housing Problems</t>
  </si>
  <si>
    <t>Has one or more of four housing problems</t>
  </si>
  <si>
    <t>Has none of the four housing problems</t>
  </si>
  <si>
    <t>Household has no/negative income, but none of the other housing problems</t>
  </si>
  <si>
    <t>Jurisdiction as a whole</t>
  </si>
  <si>
    <t>White</t>
  </si>
  <si>
    <t>Black / African American</t>
  </si>
  <si>
    <t>Asian</t>
  </si>
  <si>
    <t>American Indian, Alaska Native</t>
  </si>
  <si>
    <t>Pacific Islander</t>
  </si>
  <si>
    <t>Hispanic</t>
  </si>
  <si>
    <t>Table 15 - Disproportionately Greater Need 50-80% AMI</t>
  </si>
  <si>
    <t>Table 16 - Disproportionately Greater Need 80-100% AMI</t>
  </si>
  <si>
    <t>NA-20 Disproportioantely Greater Need:  Severe Housing Problems</t>
  </si>
  <si>
    <t>Table 17 - Severe Housing Problems 0-30% AMI</t>
  </si>
  <si>
    <t>Severe Housing Problems*</t>
  </si>
  <si>
    <t>Table 18 - Severe Housing Problems 30-50% AMI</t>
  </si>
  <si>
    <t>Table 19 - Severe Housing Problems 50-80% AMI</t>
  </si>
  <si>
    <t>Table 20 - Severe Housing Problems 80-100% AMI</t>
  </si>
  <si>
    <t>NA-25 Disproportionately Greater Need: Housing Cost Burdens</t>
  </si>
  <si>
    <t>Housing Cost Burden</t>
  </si>
  <si>
    <t>&lt;=30%</t>
  </si>
  <si>
    <t>30-50%</t>
  </si>
  <si>
    <t>&gt;50%</t>
  </si>
  <si>
    <t>No / negative income (not computed)</t>
  </si>
  <si>
    <t>NA-35 Public Housing</t>
  </si>
  <si>
    <t>Program Type</t>
  </si>
  <si>
    <t>Certificate</t>
  </si>
  <si>
    <t>Mod-Rehab</t>
  </si>
  <si>
    <t>Public Housing</t>
  </si>
  <si>
    <t>Vouchers</t>
  </si>
  <si>
    <t>Project -based</t>
  </si>
  <si>
    <t>Tenant -based</t>
  </si>
  <si>
    <t>Special Purpose Voucher</t>
  </si>
  <si>
    <t>Veterans Affairs Supportive Housing</t>
  </si>
  <si>
    <t>Family Unification Program</t>
  </si>
  <si>
    <t>Disabled</t>
  </si>
  <si>
    <t>*</t>
  </si>
  <si>
    <t>Table 22 - Public Housing by Program Type</t>
  </si>
  <si>
    <t xml:space="preserve">Table 23 – Characteristics of Public Housing Residents by Program Type </t>
  </si>
  <si>
    <t># Homeless at admission</t>
  </si>
  <si>
    <t># of Elderly Program Participants (&gt;62)</t>
  </si>
  <si>
    <t># of Disabled Families</t>
  </si>
  <si>
    <t># of HIV/AIDS program participants</t>
  </si>
  <si>
    <t># of DV victims</t>
  </si>
  <si>
    <t>Black/African American</t>
  </si>
  <si>
    <t>American Indian/Alaska Native</t>
  </si>
  <si>
    <t>Not Hispanic</t>
  </si>
  <si>
    <t>NA-40 Homeless Needs Assessment</t>
  </si>
  <si>
    <t>Race:</t>
  </si>
  <si>
    <t>Black or African American</t>
  </si>
  <si>
    <t>American Indian or Alaska Native</t>
  </si>
  <si>
    <t>Ethnicity:</t>
  </si>
  <si>
    <t>MA-10 Housing Market Analysis: Number of Housing Units</t>
  </si>
  <si>
    <t>Table 31 – Residential Properties by Unit Number</t>
  </si>
  <si>
    <t>Property Type</t>
  </si>
  <si>
    <t>Number</t>
  </si>
  <si>
    <t>%</t>
  </si>
  <si>
    <t>1-unit detached structure</t>
  </si>
  <si>
    <t>1-unit, attached structure</t>
  </si>
  <si>
    <t>2-4 units</t>
  </si>
  <si>
    <t>5-19 units</t>
  </si>
  <si>
    <t>20 or more units</t>
  </si>
  <si>
    <t>Mobile Home, boat, RV, van, etc</t>
  </si>
  <si>
    <t>Owners</t>
  </si>
  <si>
    <t>Renters</t>
  </si>
  <si>
    <t>No bedroom</t>
  </si>
  <si>
    <t>1 bedroom</t>
  </si>
  <si>
    <t>2 bedrooms</t>
  </si>
  <si>
    <t>3 or more bedrooms</t>
  </si>
  <si>
    <t>Table 25 - Race of Public Housing Residents by Program Type</t>
  </si>
  <si>
    <t>Table 26 - Ethnicity of Public Housing Residents by Program Type</t>
  </si>
  <si>
    <t>MA-15 Housing Market Analysis: Cost of Housing</t>
  </si>
  <si>
    <t>Table 33 – Cost of Housing</t>
  </si>
  <si>
    <t>Median Home Value</t>
  </si>
  <si>
    <t>Median Contract Rent</t>
  </si>
  <si>
    <t>Table 34 - Rent Paid</t>
  </si>
  <si>
    <t>Rent Paid</t>
  </si>
  <si>
    <t>Less than $500</t>
  </si>
  <si>
    <t>$500-999</t>
  </si>
  <si>
    <t>$1,000-1,499</t>
  </si>
  <si>
    <t>$1,500-1,999</t>
  </si>
  <si>
    <t>$2,000 or more</t>
  </si>
  <si>
    <t>Table 35 – Housing Affordability</t>
  </si>
  <si>
    <t xml:space="preserve">% Units affordable to Households earning </t>
  </si>
  <si>
    <t>Table 36 – Monthly Rent</t>
  </si>
  <si>
    <t>Monthly Rent ($)</t>
  </si>
  <si>
    <t>Efficiency (no bedroom)</t>
  </si>
  <si>
    <t>1 Bedroom</t>
  </si>
  <si>
    <t>2 Bedroom</t>
  </si>
  <si>
    <t>3 Bedroom</t>
  </si>
  <si>
    <t>4 Bedroom</t>
  </si>
  <si>
    <t>Fair Market Rent</t>
  </si>
  <si>
    <t>High HOME Rent</t>
  </si>
  <si>
    <t>Low HOME Rent</t>
  </si>
  <si>
    <t>MA-20 Housing Market Analysis: Condition of Housing</t>
  </si>
  <si>
    <t>Table 37 - Condition of Units</t>
  </si>
  <si>
    <t>Condition of Units</t>
  </si>
  <si>
    <t>Owner-Occupied</t>
  </si>
  <si>
    <t>Renter-Occupied</t>
  </si>
  <si>
    <t>With one selected Condition</t>
  </si>
  <si>
    <t>With two selected Conditions</t>
  </si>
  <si>
    <t>With three selected Conditions</t>
  </si>
  <si>
    <t>With four selected Conditions</t>
  </si>
  <si>
    <t>No selected Conditions</t>
  </si>
  <si>
    <t>Table 38 – Year Unit Built</t>
  </si>
  <si>
    <t>Year Unit Built</t>
  </si>
  <si>
    <t>2000 or later</t>
  </si>
  <si>
    <t>1980-1999</t>
  </si>
  <si>
    <t>Table 39 – Risk of Lead-Based Paint</t>
  </si>
  <si>
    <t>Risk of Lead-Based Paint Hazard</t>
  </si>
  <si>
    <t>Total Number of Units Built Before 1980</t>
  </si>
  <si>
    <t>Table 40 - Vacant Units</t>
  </si>
  <si>
    <t>Suitable for Rehabilitation</t>
  </si>
  <si>
    <t>Not Suitable for Rehabilitation</t>
  </si>
  <si>
    <t>Abandoned REO Properties</t>
  </si>
  <si>
    <t>MA-25 Public and Assisted Housing</t>
  </si>
  <si>
    <t>Table 41 – Total Number of Units by Program Type</t>
  </si>
  <si>
    <t># of units vouchers available</t>
  </si>
  <si>
    <t># of accessible units</t>
  </si>
  <si>
    <t>Table 42 - Public Housing Condition</t>
  </si>
  <si>
    <t>Public Housing Development</t>
  </si>
  <si>
    <t>MA-30 Homeless Facilities and Services</t>
  </si>
  <si>
    <t>Veterans</t>
  </si>
  <si>
    <t>Housing Needs by Problem Area (Tables 7-12)</t>
  </si>
  <si>
    <r>
      <t xml:space="preserve">Table 8 - Housing Problems 2 </t>
    </r>
    <r>
      <rPr>
        <sz val="11"/>
        <color theme="1"/>
        <rFont val="Calibri"/>
        <family val="2"/>
        <scheme val="minor"/>
      </rPr>
      <t>(Households with one or more severe housing problems: lacks kitchen or complete plumbing, severe overcrowding, severe cost burden)</t>
    </r>
  </si>
  <si>
    <t>Table 14 - Disproportionately Greater Need 30-50% AMI</t>
  </si>
  <si>
    <t>Characteristics of Public Housing Residents by Disability, Race and Ethnicity (Tables 23-26)</t>
  </si>
  <si>
    <r>
      <t>Table</t>
    </r>
    <r>
      <rPr>
        <sz val="11"/>
        <color theme="1"/>
        <rFont val="Calibri"/>
        <family val="2"/>
        <scheme val="minor"/>
      </rPr>
      <t xml:space="preserve"> Not Numbered</t>
    </r>
  </si>
  <si>
    <t>Table 21 - Greater Need: Housing Cost Burdens</t>
  </si>
  <si>
    <t>0%-30% HAMFI</t>
  </si>
  <si>
    <t>&gt;30%-50% HAMFI</t>
  </si>
  <si>
    <t>&gt;50%-80% HAMFI</t>
  </si>
  <si>
    <t>&gt;80%-100% HAMFI</t>
  </si>
  <si>
    <t>1940-1979</t>
  </si>
  <si>
    <t>Before 1940</t>
  </si>
  <si>
    <t>Housing Units Built before 1980 with Children Age 6 and Under present</t>
  </si>
  <si>
    <t>Unsheltered</t>
  </si>
  <si>
    <t>Sheltered</t>
  </si>
  <si>
    <t>Persons in households with adult(s) and child(ren)</t>
  </si>
  <si>
    <t>Persons in households with only children</t>
  </si>
  <si>
    <t>Persons in households with only adults</t>
  </si>
  <si>
    <t>Chronically homeless individuals</t>
  </si>
  <si>
    <t>Persons with HIV</t>
  </si>
  <si>
    <t>Domestic violence victims</t>
  </si>
  <si>
    <t>Chronic substance abuse</t>
  </si>
  <si>
    <t>Estimated # experiencing homelessness each year</t>
  </si>
  <si>
    <t>Estimated # becoming homeless each year</t>
  </si>
  <si>
    <t>Estimated # exiting homelessness each year</t>
  </si>
  <si>
    <t>Estimated # of days persons experience homelessness</t>
  </si>
  <si>
    <t>Chronically homeless families</t>
  </si>
  <si>
    <t>Unaccompanied youth</t>
  </si>
  <si>
    <t>Severely mentally Ill</t>
  </si>
  <si>
    <t>Table 32 – Occupied Housing Unit Size by Tenure</t>
  </si>
  <si>
    <t>Total number of Units built Before 1980</t>
  </si>
  <si>
    <t>Units built before 1980 wth Children Age 6 and Under present</t>
  </si>
  <si>
    <t>&gt;100% AMI</t>
  </si>
  <si>
    <t>Percent of all units built before 1980 with Children Age 6 and Under Present</t>
  </si>
  <si>
    <t>Table 39 - Risk of Lead-Based Paint (v2)</t>
  </si>
  <si>
    <t>Inspection Score</t>
  </si>
  <si>
    <t># of Family Self Sufficiency participants</t>
  </si>
  <si>
    <t>*Includes Non-Elderly Disabled, Mainstream One-Year, Mainstream Five-Year, and Nursing Home Transition</t>
  </si>
  <si>
    <t>Any disability</t>
  </si>
  <si>
    <t>Transitional Housing</t>
  </si>
  <si>
    <t>Table 40a - Housing units occupied by low/mod in need of rehabilitation</t>
  </si>
  <si>
    <t>Percent of units without adequate kitchens or plumbing or containing more than 1.01 persons per room, where households makes less than 80% of HAMFI</t>
  </si>
  <si>
    <t>Most Recent Year:  2016</t>
  </si>
  <si>
    <t>Base Year:  2010</t>
  </si>
  <si>
    <t>NA-45 Non-Homeless Special Needs Assessment</t>
  </si>
  <si>
    <t>Current HOPWA formula use:</t>
  </si>
  <si>
    <t>Area incidence of AIDS</t>
  </si>
  <si>
    <t>Number of new cases prior year (3 years of data)</t>
  </si>
  <si>
    <t>Rate per population (3 years of data)</t>
  </si>
  <si>
    <t>Current HIV surveillance data:</t>
  </si>
  <si>
    <t>Area Prevalence (PLWH per population)</t>
  </si>
  <si>
    <t>Number of new HIV cases reported last year</t>
  </si>
  <si>
    <t>Table 29-HOPWA Data</t>
  </si>
  <si>
    <t>Type of HOPWA Assistance</t>
  </si>
  <si>
    <t>Estimates of Unmet Need</t>
  </si>
  <si>
    <t>Tenant based rental assistance</t>
  </si>
  <si>
    <t>Short-term Rent, Mortgage, and Utility</t>
  </si>
  <si>
    <t>Facility Based Housing (Permanent, short-term or transitional)</t>
  </si>
  <si>
    <t>Table 30-HIV Housing Need</t>
  </si>
  <si>
    <t>Source: HOPWA CAPER and HOPWA Beneficiary Verification Worksheet</t>
  </si>
  <si>
    <t>MA-35 Special Needs Facilities and Services</t>
  </si>
  <si>
    <t xml:space="preserve">Table 44 - HOPWA Assistance Baseline </t>
  </si>
  <si>
    <t>Type of HOWA Assistance</t>
  </si>
  <si>
    <t>Number of Units Designated or Available for People with HIV/AIDS and their families</t>
  </si>
  <si>
    <t>TBRA</t>
  </si>
  <si>
    <t>PH in facilities</t>
  </si>
  <si>
    <t>STRMU</t>
  </si>
  <si>
    <t>ST or TH facilities</t>
  </si>
  <si>
    <t>PH placement</t>
  </si>
  <si>
    <t>MA-45 Non-Housing Community Development Assets</t>
  </si>
  <si>
    <t>Table 45 - Business Activity</t>
  </si>
  <si>
    <t>Business by Sector</t>
  </si>
  <si>
    <t>Number of Workers</t>
  </si>
  <si>
    <t>Number of Jobs</t>
  </si>
  <si>
    <t>Share of Workers</t>
  </si>
  <si>
    <t>Share of Jobs</t>
  </si>
  <si>
    <t>Jobs less workers</t>
  </si>
  <si>
    <t>Construction</t>
  </si>
  <si>
    <t>Information</t>
  </si>
  <si>
    <t>Manufacturing</t>
  </si>
  <si>
    <t>Public Administration</t>
  </si>
  <si>
    <t>Retail Trade</t>
  </si>
  <si>
    <t>Transportation and Warehousing</t>
  </si>
  <si>
    <t>Wholesale Trade</t>
  </si>
  <si>
    <t>Table 46 - Labor Force</t>
  </si>
  <si>
    <t>Total Population in the Civilian Labor Force</t>
  </si>
  <si>
    <t>Civilian Employed Population 16 years and over</t>
  </si>
  <si>
    <t>Unemployment Rate</t>
  </si>
  <si>
    <t>Unemployment Rate for Ages 16-24</t>
  </si>
  <si>
    <t>Table 47 -  Occupations by Sector</t>
  </si>
  <si>
    <t>Occupations by Sector</t>
  </si>
  <si>
    <t>Service</t>
  </si>
  <si>
    <t>Sales and office</t>
  </si>
  <si>
    <t>Production, transportation and material moving</t>
  </si>
  <si>
    <t>Table 48 - Travel Time</t>
  </si>
  <si>
    <t>Travel Time</t>
  </si>
  <si>
    <t>Percentage</t>
  </si>
  <si>
    <t>&lt; 30 Minutes</t>
  </si>
  <si>
    <t>30-59 Minutes</t>
  </si>
  <si>
    <t>60 or More Minutes</t>
  </si>
  <si>
    <t>Educational Attainment</t>
  </si>
  <si>
    <t>In Labor Force</t>
  </si>
  <si>
    <t>Civilian Employed</t>
  </si>
  <si>
    <t>Unemployed</t>
  </si>
  <si>
    <t>Not in Labor Force</t>
  </si>
  <si>
    <t>Less than high school graduate</t>
  </si>
  <si>
    <t>High school graduate (includes equivalency)</t>
  </si>
  <si>
    <t>Some college or Associate's degree</t>
  </si>
  <si>
    <t>Bachelor's degree or higher</t>
  </si>
  <si>
    <t>Table 50 - Educational Attainment by Age</t>
  </si>
  <si>
    <t>Age</t>
  </si>
  <si>
    <t>18–24 yrs</t>
  </si>
  <si>
    <t>25–34 yrs</t>
  </si>
  <si>
    <t>35–44 yrs</t>
  </si>
  <si>
    <t>45–65 yrs</t>
  </si>
  <si>
    <t>65+ yrs</t>
  </si>
  <si>
    <t>Less than 9th grade</t>
  </si>
  <si>
    <t>9th to 12th grade, no diploma</t>
  </si>
  <si>
    <t>High school graduate, GED, or alternative</t>
  </si>
  <si>
    <t>Some college, no degree</t>
  </si>
  <si>
    <t>Associate's degree</t>
  </si>
  <si>
    <t>Bachelor's degree</t>
  </si>
  <si>
    <t>Graduate or professional degree</t>
  </si>
  <si>
    <t>Median Earnings in the Past 12 Months</t>
  </si>
  <si>
    <t>Unemployment Rate for Ages 25-64</t>
  </si>
  <si>
    <t>Number of People</t>
  </si>
  <si>
    <t>Management, business, science and arts</t>
  </si>
  <si>
    <t>Natural resources, construction and maintenance occupations</t>
  </si>
  <si>
    <t>Table 49 - Educational Attainment by Employment Status (Population 25 to 64 years)</t>
  </si>
  <si>
    <t>Table 51 - Median Earnings in the Past 12 Months (Population 25 years and older with earnings)</t>
  </si>
  <si>
    <t>Agriculture, Forestry, Fishing and Hunting</t>
  </si>
  <si>
    <t>Mining, Quarrying, and Oil and Gas Extraction</t>
  </si>
  <si>
    <t>Utilities</t>
  </si>
  <si>
    <t>Finance and Insurance</t>
  </si>
  <si>
    <t>Real Estate and Rental and Leasing</t>
  </si>
  <si>
    <t>Professional, Scientific, and Technical Services</t>
  </si>
  <si>
    <t>Management of Companies and Enterprises</t>
  </si>
  <si>
    <t>Administration &amp; Support, Waste Management and Remediation</t>
  </si>
  <si>
    <t>Educational Services</t>
  </si>
  <si>
    <t>Health Care and Social Assistance</t>
  </si>
  <si>
    <t>Arts, Entertainment, and Recreation</t>
  </si>
  <si>
    <t>Accommodation and Food Services</t>
  </si>
  <si>
    <t>Other Services (excluding Public Administration)</t>
  </si>
  <si>
    <t>Source: 2015 Longitudinal Employer-Household Dynamics</t>
  </si>
  <si>
    <t>Cumulative cases of AIDS reported (U.S.)</t>
  </si>
  <si>
    <t>Cumulative cases of AIDS reported (IL)</t>
  </si>
  <si>
    <t>Rate per population (U.S.)</t>
  </si>
  <si>
    <t>Rate per population (IL)</t>
  </si>
  <si>
    <t>Number of Persons living with HIC in Chicago (PLWH)</t>
  </si>
  <si>
    <t xml:space="preserve">Source: Notice CPD 17-12 Implementation of the Housing Opportunity Through Modernization Act changes to the HOPWA Program (Revised) – Adobe Acrobat Reader DC (pg. 3). </t>
  </si>
  <si>
    <t xml:space="preserve">Source: Table 30: Diagnoses of HIV infection, 2017, and persons living with diagnosed HIV infection (prevalence), year-end 2016, by metropolitan statistical area of residence – United States and Puerto Rico ( pg. 121) HIV Surveillance Report Volume 29, Diagnosed of HIV infection in the united stated and Dependent Areas, 2017. </t>
  </si>
  <si>
    <t>Source: 2018 HUD HOME Program Rents for Chicago-Joliet-Naperville Metro</t>
  </si>
  <si>
    <t>Hispanic/Latino</t>
  </si>
  <si>
    <t>Source: Homeless Management Information System (HMIS), Jan. 8, 2019</t>
  </si>
  <si>
    <t>Chicago Housing Authority</t>
  </si>
  <si>
    <t>Unknown Ethnicity</t>
  </si>
  <si>
    <t># of Families requesting accessibility features (5-year period from 2014-2018</t>
  </si>
  <si>
    <t>AMP</t>
  </si>
  <si>
    <t>Households with children present</t>
  </si>
  <si>
    <t>Family Units</t>
  </si>
  <si>
    <t>Family Beds</t>
  </si>
  <si>
    <t>Adult-Only Beds</t>
  </si>
  <si>
    <t>Other Permanent Housing</t>
  </si>
  <si>
    <t>Child-Only Beds</t>
  </si>
  <si>
    <t>Overflow/Voucher</t>
  </si>
  <si>
    <t>Chronic Beds</t>
  </si>
  <si>
    <t>Veteran Beds</t>
  </si>
  <si>
    <t>Youth Beds</t>
  </si>
  <si>
    <t>Emergency, Safe Haven, and Transitional Housing</t>
  </si>
  <si>
    <t>Emergency Shelter</t>
  </si>
  <si>
    <t>Safe Haven</t>
  </si>
  <si>
    <t>Permanent Housing</t>
  </si>
  <si>
    <t>Permanent Supportive Housing</t>
  </si>
  <si>
    <t>Rapid Re-Housing</t>
  </si>
  <si>
    <t>Grant Total</t>
  </si>
  <si>
    <t>Total Year-Round Beds</t>
  </si>
  <si>
    <t>Seasonal</t>
  </si>
  <si>
    <t>Subset of Total Bed Inventory</t>
  </si>
  <si>
    <t>Table 43a-Facilities Targeted to Homeless Persons</t>
  </si>
  <si>
    <t>Source: HUD Continuum of Care, 2018</t>
  </si>
  <si>
    <t>REO Properties**</t>
  </si>
  <si>
    <t>Most Recent Year:  2017</t>
  </si>
  <si>
    <t>tbl</t>
  </si>
  <si>
    <t>clmn</t>
  </si>
  <si>
    <t>cook_val</t>
  </si>
  <si>
    <t>column_name</t>
  </si>
  <si>
    <t>column_type</t>
  </si>
  <si>
    <t>desc_1</t>
  </si>
  <si>
    <t>desc_2</t>
  </si>
  <si>
    <t>desc_3</t>
  </si>
  <si>
    <t>desc_5</t>
  </si>
  <si>
    <t>T1_est1</t>
  </si>
  <si>
    <t>Tenure: Total: Occupied housing units</t>
  </si>
  <si>
    <t>1 of 4 housing problems: All</t>
  </si>
  <si>
    <t>Household income: All</t>
  </si>
  <si>
    <t>Race/ethnicity: All</t>
  </si>
  <si>
    <t>T1_est2</t>
  </si>
  <si>
    <t>Subtotal</t>
  </si>
  <si>
    <t>Tenure: Owner occupied</t>
  </si>
  <si>
    <t>T1_est3</t>
  </si>
  <si>
    <t>1 of 4 housing problems: has 1 or more of the 4 housing unit problems (lacks kitchen or plumbing, more than 1 person per room, or cost burden greater than 30%)</t>
  </si>
  <si>
    <t>T1_est4</t>
  </si>
  <si>
    <t>Household income: less than or equal to 30% of HAMFI</t>
  </si>
  <si>
    <t>T1_est5</t>
  </si>
  <si>
    <t>Detail</t>
  </si>
  <si>
    <t>Race/ethnicity: White alone, non-Hispanic</t>
  </si>
  <si>
    <t>T1_est6</t>
  </si>
  <si>
    <t>Race/ethnicity: Black or African-American alone, non-Hispanic</t>
  </si>
  <si>
    <t>T1_est7</t>
  </si>
  <si>
    <t>Race/ethnicity: Asian alone, non-Hispanic</t>
  </si>
  <si>
    <t>T1_est8</t>
  </si>
  <si>
    <t>Race/ethnicity: American Indian or Alaska Native alone, non-Hispanic</t>
  </si>
  <si>
    <t>T1_est9</t>
  </si>
  <si>
    <t>Race/ethnicity: Pacific Islander alone, non-Hispanic</t>
  </si>
  <si>
    <t>T1_est10</t>
  </si>
  <si>
    <t>Race/ethnicity: Hispanic, any race</t>
  </si>
  <si>
    <t>T1_est11</t>
  </si>
  <si>
    <t>Race/ethnicity: other (including multiple races, non-Hispanic)</t>
  </si>
  <si>
    <t>T1_est12</t>
  </si>
  <si>
    <t>Household income: greater than 30% but less than or equal to 50% of HAMFI</t>
  </si>
  <si>
    <t>T1_est13</t>
  </si>
  <si>
    <t>T1_est14</t>
  </si>
  <si>
    <t>T1_est15</t>
  </si>
  <si>
    <t>T1_est16</t>
  </si>
  <si>
    <t>T1_est17</t>
  </si>
  <si>
    <t>T1_est18</t>
  </si>
  <si>
    <t>T1_est19</t>
  </si>
  <si>
    <t>T1_est20</t>
  </si>
  <si>
    <t>Household income: greater than 50% but less than or equal to 80% of HAMFI</t>
  </si>
  <si>
    <t>T1_est21</t>
  </si>
  <si>
    <t>T1_est22</t>
  </si>
  <si>
    <t>T1_est23</t>
  </si>
  <si>
    <t>T1_est24</t>
  </si>
  <si>
    <t>T1_est25</t>
  </si>
  <si>
    <t>T1_est26</t>
  </si>
  <si>
    <t>T1_est27</t>
  </si>
  <si>
    <t>T1_est28</t>
  </si>
  <si>
    <t>Household income: greater than 80% but less than or equal to 100% of HAMFI</t>
  </si>
  <si>
    <t>T1_est29</t>
  </si>
  <si>
    <t>T1_est30</t>
  </si>
  <si>
    <t>T1_est31</t>
  </si>
  <si>
    <t>T1_est32</t>
  </si>
  <si>
    <t>T1_est33</t>
  </si>
  <si>
    <t>T1_est34</t>
  </si>
  <si>
    <t>T1_est35</t>
  </si>
  <si>
    <t>T1_est36</t>
  </si>
  <si>
    <t>Household income: greater than 100% of HAMFI</t>
  </si>
  <si>
    <t>T1_est37</t>
  </si>
  <si>
    <t>T1_est38</t>
  </si>
  <si>
    <t>T1_est39</t>
  </si>
  <si>
    <t>T1_est40</t>
  </si>
  <si>
    <t>T1_est41</t>
  </si>
  <si>
    <t>T1_est42</t>
  </si>
  <si>
    <t>T1_est43</t>
  </si>
  <si>
    <t>T1_est44</t>
  </si>
  <si>
    <t>1 of 4 housing problems: has none of the 4 housing problems</t>
  </si>
  <si>
    <t>T1_est45</t>
  </si>
  <si>
    <t>T1_est46</t>
  </si>
  <si>
    <t>T1_est47</t>
  </si>
  <si>
    <t>T1_est48</t>
  </si>
  <si>
    <t>T1_est49</t>
  </si>
  <si>
    <t>T1_est50</t>
  </si>
  <si>
    <t>T1_est51</t>
  </si>
  <si>
    <t>T1_est52</t>
  </si>
  <si>
    <t>T1_est53</t>
  </si>
  <si>
    <t>T1_est54</t>
  </si>
  <si>
    <t>T1_est55</t>
  </si>
  <si>
    <t>T1_est56</t>
  </si>
  <si>
    <t>T1_est57</t>
  </si>
  <si>
    <t>T1_est58</t>
  </si>
  <si>
    <t>T1_est59</t>
  </si>
  <si>
    <t>T1_est60</t>
  </si>
  <si>
    <t>T1_est61</t>
  </si>
  <si>
    <t>T1_est62</t>
  </si>
  <si>
    <t>T1_est63</t>
  </si>
  <si>
    <t>T1_est64</t>
  </si>
  <si>
    <t>T1_est65</t>
  </si>
  <si>
    <t>T1_est66</t>
  </si>
  <si>
    <t>T1_est67</t>
  </si>
  <si>
    <t>T1_est68</t>
  </si>
  <si>
    <t>T1_est69</t>
  </si>
  <si>
    <t>T1_est70</t>
  </si>
  <si>
    <t>T1_est71</t>
  </si>
  <si>
    <t>T1_est72</t>
  </si>
  <si>
    <t>T1_est73</t>
  </si>
  <si>
    <t>T1_est74</t>
  </si>
  <si>
    <t>T1_est75</t>
  </si>
  <si>
    <t>T1_est76</t>
  </si>
  <si>
    <t>T1_est77</t>
  </si>
  <si>
    <t>T1_est78</t>
  </si>
  <si>
    <t>T1_est79</t>
  </si>
  <si>
    <t>T1_est80</t>
  </si>
  <si>
    <t>T1_est81</t>
  </si>
  <si>
    <t>T1_est82</t>
  </si>
  <si>
    <t>T1_est83</t>
  </si>
  <si>
    <t>T1_est84</t>
  </si>
  <si>
    <t>T1_est85</t>
  </si>
  <si>
    <t>1 of 4 housing problems: cost burden not computed, none of the other 3 housing problems</t>
  </si>
  <si>
    <t>T1_est86</t>
  </si>
  <si>
    <t>T1_est87</t>
  </si>
  <si>
    <t>T1_est88</t>
  </si>
  <si>
    <t>T1_est89</t>
  </si>
  <si>
    <t>T1_est90</t>
  </si>
  <si>
    <t>T1_est91</t>
  </si>
  <si>
    <t>T1_est92</t>
  </si>
  <si>
    <t>T1_est93</t>
  </si>
  <si>
    <t>T1_est94</t>
  </si>
  <si>
    <t>T1_est95</t>
  </si>
  <si>
    <t>T1_est96</t>
  </si>
  <si>
    <t>T1_est97</t>
  </si>
  <si>
    <t>T1_est98</t>
  </si>
  <si>
    <t>T1_est99</t>
  </si>
  <si>
    <t>T1_est100</t>
  </si>
  <si>
    <t>T1_est101</t>
  </si>
  <si>
    <t>T1_est102</t>
  </si>
  <si>
    <t>T1_est103</t>
  </si>
  <si>
    <t>T1_est104</t>
  </si>
  <si>
    <t>T1_est105</t>
  </si>
  <si>
    <t>T1_est106</t>
  </si>
  <si>
    <t>T1_est107</t>
  </si>
  <si>
    <t>T1_est108</t>
  </si>
  <si>
    <t>T1_est109</t>
  </si>
  <si>
    <t>T1_est110</t>
  </si>
  <si>
    <t>T1_est111</t>
  </si>
  <si>
    <t>T1_est112</t>
  </si>
  <si>
    <t>T1_est113</t>
  </si>
  <si>
    <t>T1_est114</t>
  </si>
  <si>
    <t>T1_est115</t>
  </si>
  <si>
    <t>T1_est116</t>
  </si>
  <si>
    <t>T1_est117</t>
  </si>
  <si>
    <t>T1_est118</t>
  </si>
  <si>
    <t>T1_est119</t>
  </si>
  <si>
    <t>T1_est120</t>
  </si>
  <si>
    <t>T1_est121</t>
  </si>
  <si>
    <t>T1_est122</t>
  </si>
  <si>
    <t>T1_est123</t>
  </si>
  <si>
    <t>T1_est124</t>
  </si>
  <si>
    <t>T1_est125</t>
  </si>
  <si>
    <t>T1_est126</t>
  </si>
  <si>
    <t>Tenure: Renter occupied</t>
  </si>
  <si>
    <t>T1_est127</t>
  </si>
  <si>
    <t>T1_est128</t>
  </si>
  <si>
    <t>T1_est129</t>
  </si>
  <si>
    <t>T1_est130</t>
  </si>
  <si>
    <t>T1_est131</t>
  </si>
  <si>
    <t>T1_est132</t>
  </si>
  <si>
    <t>T1_est133</t>
  </si>
  <si>
    <t>T1_est134</t>
  </si>
  <si>
    <t>T1_est135</t>
  </si>
  <si>
    <t>T1_est136</t>
  </si>
  <si>
    <t>T1_est137</t>
  </si>
  <si>
    <t>T1_est138</t>
  </si>
  <si>
    <t>T1_est139</t>
  </si>
  <si>
    <t>T1_est140</t>
  </si>
  <si>
    <t>T1_est141</t>
  </si>
  <si>
    <t>T1_est142</t>
  </si>
  <si>
    <t>T1_est143</t>
  </si>
  <si>
    <t>T1_est144</t>
  </si>
  <si>
    <t>T1_est145</t>
  </si>
  <si>
    <t>T1_est146</t>
  </si>
  <si>
    <t>T1_est147</t>
  </si>
  <si>
    <t>T1_est148</t>
  </si>
  <si>
    <t>T1_est149</t>
  </si>
  <si>
    <t>T1_est150</t>
  </si>
  <si>
    <t>T1_est151</t>
  </si>
  <si>
    <t>T1_est152</t>
  </si>
  <si>
    <t>T1_est153</t>
  </si>
  <si>
    <t>T1_est154</t>
  </si>
  <si>
    <t>T1_est155</t>
  </si>
  <si>
    <t>T1_est156</t>
  </si>
  <si>
    <t>T1_est157</t>
  </si>
  <si>
    <t>T1_est158</t>
  </si>
  <si>
    <t>T1_est159</t>
  </si>
  <si>
    <t>T1_est160</t>
  </si>
  <si>
    <t>T1_est161</t>
  </si>
  <si>
    <t>T1_est162</t>
  </si>
  <si>
    <t>T1_est163</t>
  </si>
  <si>
    <t>T1_est164</t>
  </si>
  <si>
    <t>T1_est165</t>
  </si>
  <si>
    <t>T1_est166</t>
  </si>
  <si>
    <t>T1_est167</t>
  </si>
  <si>
    <t>T1_est168</t>
  </si>
  <si>
    <t>T1_est169</t>
  </si>
  <si>
    <t>T1_est170</t>
  </si>
  <si>
    <t>T1_est171</t>
  </si>
  <si>
    <t>T1_est172</t>
  </si>
  <si>
    <t>T1_est173</t>
  </si>
  <si>
    <t>T1_est174</t>
  </si>
  <si>
    <t>T1_est175</t>
  </si>
  <si>
    <t>T1_est176</t>
  </si>
  <si>
    <t>T1_est177</t>
  </si>
  <si>
    <t>T1_est178</t>
  </si>
  <si>
    <t>T1_est179</t>
  </si>
  <si>
    <t>T1_est180</t>
  </si>
  <si>
    <t>T1_est181</t>
  </si>
  <si>
    <t>T1_est182</t>
  </si>
  <si>
    <t>T1_est183</t>
  </si>
  <si>
    <t>T1_est184</t>
  </si>
  <si>
    <t>T1_est185</t>
  </si>
  <si>
    <t>T1_est186</t>
  </si>
  <si>
    <t>T1_est187</t>
  </si>
  <si>
    <t>T1_est188</t>
  </si>
  <si>
    <t>T1_est189</t>
  </si>
  <si>
    <t>T1_est190</t>
  </si>
  <si>
    <t>T1_est191</t>
  </si>
  <si>
    <t>T1_est192</t>
  </si>
  <si>
    <t>T1_est193</t>
  </si>
  <si>
    <t>T1_est194</t>
  </si>
  <si>
    <t>T1_est195</t>
  </si>
  <si>
    <t>T1_est196</t>
  </si>
  <si>
    <t>T1_est197</t>
  </si>
  <si>
    <t>T1_est198</t>
  </si>
  <si>
    <t>T1_est199</t>
  </si>
  <si>
    <t>T1_est200</t>
  </si>
  <si>
    <t>T1_est201</t>
  </si>
  <si>
    <t>T1_est202</t>
  </si>
  <si>
    <t>T1_est203</t>
  </si>
  <si>
    <t>T1_est204</t>
  </si>
  <si>
    <t>T1_est205</t>
  </si>
  <si>
    <t>T1_est206</t>
  </si>
  <si>
    <t>T1_est207</t>
  </si>
  <si>
    <t>T1_est208</t>
  </si>
  <si>
    <t>T1_est209</t>
  </si>
  <si>
    <t>T1_est210</t>
  </si>
  <si>
    <t>T1_est211</t>
  </si>
  <si>
    <t>T1_est212</t>
  </si>
  <si>
    <t>T1_est213</t>
  </si>
  <si>
    <t>T1_est214</t>
  </si>
  <si>
    <t>T1_est215</t>
  </si>
  <si>
    <t>T1_est216</t>
  </si>
  <si>
    <t>T1_est217</t>
  </si>
  <si>
    <t>T1_est218</t>
  </si>
  <si>
    <t>T1_est219</t>
  </si>
  <si>
    <t>T1_est220</t>
  </si>
  <si>
    <t>T1_est221</t>
  </si>
  <si>
    <t>T1_est222</t>
  </si>
  <si>
    <t>T1_est223</t>
  </si>
  <si>
    <t>T1_est224</t>
  </si>
  <si>
    <t>T1_est225</t>
  </si>
  <si>
    <t>T1_est226</t>
  </si>
  <si>
    <t>T1_est227</t>
  </si>
  <si>
    <t>T1_est228</t>
  </si>
  <si>
    <t>T1_est229</t>
  </si>
  <si>
    <t>T1_est230</t>
  </si>
  <si>
    <t>T1_est231</t>
  </si>
  <si>
    <t>T1_est232</t>
  </si>
  <si>
    <t>T1_est233</t>
  </si>
  <si>
    <t>T1_est234</t>
  </si>
  <si>
    <t>T1_est235</t>
  </si>
  <si>
    <t>T1_est236</t>
  </si>
  <si>
    <t>T1_est237</t>
  </si>
  <si>
    <t>T1_est238</t>
  </si>
  <si>
    <t>T1_est239</t>
  </si>
  <si>
    <t>T1_est240</t>
  </si>
  <si>
    <t>T1_est241</t>
  </si>
  <si>
    <t>T1_est242</t>
  </si>
  <si>
    <t>T1_est243</t>
  </si>
  <si>
    <t>T1_est244</t>
  </si>
  <si>
    <t>T1_est245</t>
  </si>
  <si>
    <t>T1_est246</t>
  </si>
  <si>
    <t>T1_est247</t>
  </si>
  <si>
    <t>T1_est248</t>
  </si>
  <si>
    <t>T1_est249</t>
  </si>
  <si>
    <t>T2_est1</t>
  </si>
  <si>
    <t>1 of 4 severe housing problems: All</t>
  </si>
  <si>
    <t>T2_est2</t>
  </si>
  <si>
    <t>T2_est3</t>
  </si>
  <si>
    <t>1 of 4 severe housing problems: has 1 or more of the 4 severe housing problems (lacks kitchen or plumbing, more than 1 person per room, or cost burden greater than 50%)</t>
  </si>
  <si>
    <t>T2_est4</t>
  </si>
  <si>
    <t>T2_est5</t>
  </si>
  <si>
    <t>T2_est6</t>
  </si>
  <si>
    <t>T2_est7</t>
  </si>
  <si>
    <t>T2_est8</t>
  </si>
  <si>
    <t>T2_est9</t>
  </si>
  <si>
    <t>T2_est10</t>
  </si>
  <si>
    <t>T2_est11</t>
  </si>
  <si>
    <t>T2_est12</t>
  </si>
  <si>
    <t>T2_est13</t>
  </si>
  <si>
    <t>T2_est14</t>
  </si>
  <si>
    <t>T2_est15</t>
  </si>
  <si>
    <t>T2_est16</t>
  </si>
  <si>
    <t>T2_est17</t>
  </si>
  <si>
    <t>T2_est18</t>
  </si>
  <si>
    <t>T2_est19</t>
  </si>
  <si>
    <t>T2_est20</t>
  </si>
  <si>
    <t>T2_est21</t>
  </si>
  <si>
    <t>T2_est22</t>
  </si>
  <si>
    <t>T2_est23</t>
  </si>
  <si>
    <t>T2_est24</t>
  </si>
  <si>
    <t>T2_est25</t>
  </si>
  <si>
    <t>T2_est26</t>
  </si>
  <si>
    <t>T2_est27</t>
  </si>
  <si>
    <t>T2_est28</t>
  </si>
  <si>
    <t>T2_est29</t>
  </si>
  <si>
    <t>T2_est30</t>
  </si>
  <si>
    <t>T2_est31</t>
  </si>
  <si>
    <t>T2_est32</t>
  </si>
  <si>
    <t>T2_est33</t>
  </si>
  <si>
    <t>T2_est34</t>
  </si>
  <si>
    <t>T2_est35</t>
  </si>
  <si>
    <t>T2_est36</t>
  </si>
  <si>
    <t>T2_est37</t>
  </si>
  <si>
    <t>T2_est38</t>
  </si>
  <si>
    <t>T2_est39</t>
  </si>
  <si>
    <t>T2_est40</t>
  </si>
  <si>
    <t>T2_est41</t>
  </si>
  <si>
    <t>T2_est42</t>
  </si>
  <si>
    <t>T2_est43</t>
  </si>
  <si>
    <t>T2_est44</t>
  </si>
  <si>
    <t>1 of 4 severe housing problems: has none of the 4 severe housing problems</t>
  </si>
  <si>
    <t>T2_est45</t>
  </si>
  <si>
    <t>T2_est46</t>
  </si>
  <si>
    <t>T2_est47</t>
  </si>
  <si>
    <t>T2_est48</t>
  </si>
  <si>
    <t>T2_est49</t>
  </si>
  <si>
    <t>T2_est50</t>
  </si>
  <si>
    <t>T2_est51</t>
  </si>
  <si>
    <t>T2_est52</t>
  </si>
  <si>
    <t>T2_est53</t>
  </si>
  <si>
    <t>T2_est54</t>
  </si>
  <si>
    <t>T2_est55</t>
  </si>
  <si>
    <t>T2_est56</t>
  </si>
  <si>
    <t>T2_est57</t>
  </si>
  <si>
    <t>T2_est58</t>
  </si>
  <si>
    <t>T2_est59</t>
  </si>
  <si>
    <t>T2_est60</t>
  </si>
  <si>
    <t>T2_est61</t>
  </si>
  <si>
    <t>T2_est62</t>
  </si>
  <si>
    <t>T2_est63</t>
  </si>
  <si>
    <t>T2_est64</t>
  </si>
  <si>
    <t>T2_est65</t>
  </si>
  <si>
    <t>T2_est66</t>
  </si>
  <si>
    <t>T2_est67</t>
  </si>
  <si>
    <t>T2_est68</t>
  </si>
  <si>
    <t>T2_est69</t>
  </si>
  <si>
    <t>T2_est70</t>
  </si>
  <si>
    <t>T2_est71</t>
  </si>
  <si>
    <t>T2_est72</t>
  </si>
  <si>
    <t>T2_est73</t>
  </si>
  <si>
    <t>T2_est74</t>
  </si>
  <si>
    <t>T2_est75</t>
  </si>
  <si>
    <t>T2_est76</t>
  </si>
  <si>
    <t>T2_est77</t>
  </si>
  <si>
    <t>T2_est78</t>
  </si>
  <si>
    <t>T2_est79</t>
  </si>
  <si>
    <t>T2_est80</t>
  </si>
  <si>
    <t>T2_est81</t>
  </si>
  <si>
    <t>T2_est82</t>
  </si>
  <si>
    <t>T2_est83</t>
  </si>
  <si>
    <t>T2_est84</t>
  </si>
  <si>
    <t>T2_est85</t>
  </si>
  <si>
    <t>1 of 4 severe housing problems: cost burden not computed, none of the other 3 severe housing problems</t>
  </si>
  <si>
    <t>T2_est86</t>
  </si>
  <si>
    <t>T2_est87</t>
  </si>
  <si>
    <t>T2_est88</t>
  </si>
  <si>
    <t>T2_est89</t>
  </si>
  <si>
    <t>T2_est90</t>
  </si>
  <si>
    <t>T2_est91</t>
  </si>
  <si>
    <t>T2_est92</t>
  </si>
  <si>
    <t>T2_est93</t>
  </si>
  <si>
    <t>T2_est94</t>
  </si>
  <si>
    <t>T2_est95</t>
  </si>
  <si>
    <t>T2_est96</t>
  </si>
  <si>
    <t>T2_est97</t>
  </si>
  <si>
    <t>T2_est98</t>
  </si>
  <si>
    <t>T2_est99</t>
  </si>
  <si>
    <t>T2_est100</t>
  </si>
  <si>
    <t>T2_est101</t>
  </si>
  <si>
    <t>T2_est102</t>
  </si>
  <si>
    <t>T2_est103</t>
  </si>
  <si>
    <t>T2_est104</t>
  </si>
  <si>
    <t>T2_est105</t>
  </si>
  <si>
    <t>T2_est106</t>
  </si>
  <si>
    <t>T2_est107</t>
  </si>
  <si>
    <t>T2_est108</t>
  </si>
  <si>
    <t>T2_est109</t>
  </si>
  <si>
    <t>T2_est110</t>
  </si>
  <si>
    <t>T2_est111</t>
  </si>
  <si>
    <t>T2_est112</t>
  </si>
  <si>
    <t>T2_est113</t>
  </si>
  <si>
    <t>T2_est114</t>
  </si>
  <si>
    <t>T2_est115</t>
  </si>
  <si>
    <t>T2_est116</t>
  </si>
  <si>
    <t>T2_est117</t>
  </si>
  <si>
    <t>T2_est118</t>
  </si>
  <si>
    <t>T2_est119</t>
  </si>
  <si>
    <t>T2_est120</t>
  </si>
  <si>
    <t>T2_est121</t>
  </si>
  <si>
    <t>T2_est122</t>
  </si>
  <si>
    <t>T2_est123</t>
  </si>
  <si>
    <t>T2_est124</t>
  </si>
  <si>
    <t>T2_est125</t>
  </si>
  <si>
    <t>T2_est126</t>
  </si>
  <si>
    <t>T2_est127</t>
  </si>
  <si>
    <t>T2_est128</t>
  </si>
  <si>
    <t>T2_est129</t>
  </si>
  <si>
    <t>T2_est130</t>
  </si>
  <si>
    <t>T2_est131</t>
  </si>
  <si>
    <t>T2_est132</t>
  </si>
  <si>
    <t>T2_est133</t>
  </si>
  <si>
    <t>T2_est134</t>
  </si>
  <si>
    <t>T2_est135</t>
  </si>
  <si>
    <t>T2_est136</t>
  </si>
  <si>
    <t>T2_est137</t>
  </si>
  <si>
    <t>T2_est138</t>
  </si>
  <si>
    <t>T2_est139</t>
  </si>
  <si>
    <t>T2_est140</t>
  </si>
  <si>
    <t>T2_est141</t>
  </si>
  <si>
    <t>T2_est142</t>
  </si>
  <si>
    <t>T2_est143</t>
  </si>
  <si>
    <t>T2_est144</t>
  </si>
  <si>
    <t>T2_est145</t>
  </si>
  <si>
    <t>T2_est146</t>
  </si>
  <si>
    <t>T2_est147</t>
  </si>
  <si>
    <t>T2_est148</t>
  </si>
  <si>
    <t>T2_est149</t>
  </si>
  <si>
    <t>T2_est150</t>
  </si>
  <si>
    <t>T2_est151</t>
  </si>
  <si>
    <t>T2_est152</t>
  </si>
  <si>
    <t>T2_est153</t>
  </si>
  <si>
    <t>T2_est154</t>
  </si>
  <si>
    <t>T2_est155</t>
  </si>
  <si>
    <t>T2_est156</t>
  </si>
  <si>
    <t>T2_est157</t>
  </si>
  <si>
    <t>T2_est158</t>
  </si>
  <si>
    <t>T2_est159</t>
  </si>
  <si>
    <t>T2_est160</t>
  </si>
  <si>
    <t>T2_est161</t>
  </si>
  <si>
    <t>T2_est162</t>
  </si>
  <si>
    <t>T2_est163</t>
  </si>
  <si>
    <t>T2_est164</t>
  </si>
  <si>
    <t>T2_est165</t>
  </si>
  <si>
    <t>T2_est166</t>
  </si>
  <si>
    <t>T2_est167</t>
  </si>
  <si>
    <t>T2_est168</t>
  </si>
  <si>
    <t>T2_est169</t>
  </si>
  <si>
    <t>T2_est170</t>
  </si>
  <si>
    <t>T2_est171</t>
  </si>
  <si>
    <t>T2_est172</t>
  </si>
  <si>
    <t>T2_est173</t>
  </si>
  <si>
    <t>T2_est174</t>
  </si>
  <si>
    <t>T2_est175</t>
  </si>
  <si>
    <t>T2_est176</t>
  </si>
  <si>
    <t>T2_est177</t>
  </si>
  <si>
    <t>T2_est178</t>
  </si>
  <si>
    <t>T2_est179</t>
  </si>
  <si>
    <t>T2_est180</t>
  </si>
  <si>
    <t>T2_est181</t>
  </si>
  <si>
    <t>T2_est182</t>
  </si>
  <si>
    <t>T2_est183</t>
  </si>
  <si>
    <t>T2_est184</t>
  </si>
  <si>
    <t>T2_est185</t>
  </si>
  <si>
    <t>T2_est186</t>
  </si>
  <si>
    <t>T2_est187</t>
  </si>
  <si>
    <t>T2_est188</t>
  </si>
  <si>
    <t>T2_est189</t>
  </si>
  <si>
    <t>T2_est190</t>
  </si>
  <si>
    <t>T2_est191</t>
  </si>
  <si>
    <t>T2_est192</t>
  </si>
  <si>
    <t>T2_est193</t>
  </si>
  <si>
    <t>T2_est194</t>
  </si>
  <si>
    <t>T2_est195</t>
  </si>
  <si>
    <t>T2_est196</t>
  </si>
  <si>
    <t>T2_est197</t>
  </si>
  <si>
    <t>T2_est198</t>
  </si>
  <si>
    <t>T2_est199</t>
  </si>
  <si>
    <t>T2_est200</t>
  </si>
  <si>
    <t>T2_est201</t>
  </si>
  <si>
    <t>T2_est202</t>
  </si>
  <si>
    <t>T2_est203</t>
  </si>
  <si>
    <t>T2_est204</t>
  </si>
  <si>
    <t>T2_est205</t>
  </si>
  <si>
    <t>T2_est206</t>
  </si>
  <si>
    <t>T2_est207</t>
  </si>
  <si>
    <t>T2_est208</t>
  </si>
  <si>
    <t>T2_est209</t>
  </si>
  <si>
    <t>T2_est210</t>
  </si>
  <si>
    <t>T2_est211</t>
  </si>
  <si>
    <t>T2_est212</t>
  </si>
  <si>
    <t>T2_est213</t>
  </si>
  <si>
    <t>T2_est214</t>
  </si>
  <si>
    <t>T2_est215</t>
  </si>
  <si>
    <t>T2_est216</t>
  </si>
  <si>
    <t>T2_est217</t>
  </si>
  <si>
    <t>T2_est218</t>
  </si>
  <si>
    <t>T2_est219</t>
  </si>
  <si>
    <t>T2_est220</t>
  </si>
  <si>
    <t>T2_est221</t>
  </si>
  <si>
    <t>T2_est222</t>
  </si>
  <si>
    <t>T2_est223</t>
  </si>
  <si>
    <t>T2_est224</t>
  </si>
  <si>
    <t>T2_est225</t>
  </si>
  <si>
    <t>T2_est226</t>
  </si>
  <si>
    <t>T2_est227</t>
  </si>
  <si>
    <t>T2_est228</t>
  </si>
  <si>
    <t>T2_est229</t>
  </si>
  <si>
    <t>T2_est230</t>
  </si>
  <si>
    <t>T2_est231</t>
  </si>
  <si>
    <t>T2_est232</t>
  </si>
  <si>
    <t>T2_est233</t>
  </si>
  <si>
    <t>T2_est234</t>
  </si>
  <si>
    <t>T2_est235</t>
  </si>
  <si>
    <t>T2_est236</t>
  </si>
  <si>
    <t>T2_est237</t>
  </si>
  <si>
    <t>T2_est238</t>
  </si>
  <si>
    <t>T2_est239</t>
  </si>
  <si>
    <t>T2_est240</t>
  </si>
  <si>
    <t>T2_est241</t>
  </si>
  <si>
    <t>T2_est242</t>
  </si>
  <si>
    <t>T2_est243</t>
  </si>
  <si>
    <t>T2_est244</t>
  </si>
  <si>
    <t>T2_est245</t>
  </si>
  <si>
    <t>T2_est246</t>
  </si>
  <si>
    <t>T2_est247</t>
  </si>
  <si>
    <t>T2_est248</t>
  </si>
  <si>
    <t>T2_est249</t>
  </si>
  <si>
    <t>T3_est1</t>
  </si>
  <si>
    <t>Tenure: Total: Occupied housings</t>
  </si>
  <si>
    <t>Housing problem severity, ordered: All</t>
  </si>
  <si>
    <t>T3_est2</t>
  </si>
  <si>
    <t>T3_est3</t>
  </si>
  <si>
    <t>Housing problem severity, ordered: lacking complete plumbing or kitchen facilities</t>
  </si>
  <si>
    <t>T3_est4</t>
  </si>
  <si>
    <t>T3_est5</t>
  </si>
  <si>
    <t>T3_est6</t>
  </si>
  <si>
    <t>T3_est7</t>
  </si>
  <si>
    <t>T3_est8</t>
  </si>
  <si>
    <t>T3_est9</t>
  </si>
  <si>
    <t>Housing problem severity, ordered: with more than 1.5 persons per room, none of the needs above</t>
  </si>
  <si>
    <t>T3_est10</t>
  </si>
  <si>
    <t>T3_est11</t>
  </si>
  <si>
    <t>T3_est12</t>
  </si>
  <si>
    <t>T3_est13</t>
  </si>
  <si>
    <t>T3_est14</t>
  </si>
  <si>
    <t>T3_est15</t>
  </si>
  <si>
    <t>Housing problem severity, ordered: with more than 1 but less than or equal to 1.5 persons per room, none of the needs above</t>
  </si>
  <si>
    <t>T3_est16</t>
  </si>
  <si>
    <t>T3_est17</t>
  </si>
  <si>
    <t>T3_est18</t>
  </si>
  <si>
    <t>T3_est19</t>
  </si>
  <si>
    <t>T3_est20</t>
  </si>
  <si>
    <t>T3_est21</t>
  </si>
  <si>
    <t>Housing problem severity, ordered: with housing cost burden greater than 50%, none of the needs above</t>
  </si>
  <si>
    <t>T3_est22</t>
  </si>
  <si>
    <t>T3_est23</t>
  </si>
  <si>
    <t>T3_est24</t>
  </si>
  <si>
    <t>T3_est25</t>
  </si>
  <si>
    <t>T3_est26</t>
  </si>
  <si>
    <t>T3_est27</t>
  </si>
  <si>
    <t>Housing problem severity, ordered: with housing cost burden greater than 30% but less than or equal to 50%, none of the needs above</t>
  </si>
  <si>
    <t>T3_est28</t>
  </si>
  <si>
    <t>T3_est29</t>
  </si>
  <si>
    <t>T3_est30</t>
  </si>
  <si>
    <t>T3_est31</t>
  </si>
  <si>
    <t>T3_est32</t>
  </si>
  <si>
    <t>T3_est33</t>
  </si>
  <si>
    <t>Housing problem severity, ordered: housing cost burden not computed, none of the needs above</t>
  </si>
  <si>
    <t>T3_est34</t>
  </si>
  <si>
    <t>T3_est35</t>
  </si>
  <si>
    <t>T3_est36</t>
  </si>
  <si>
    <t>T3_est37</t>
  </si>
  <si>
    <t>T3_est38</t>
  </si>
  <si>
    <t>T3_est39</t>
  </si>
  <si>
    <t>Housing problem severity, ordered: has none of the 4 housing problems</t>
  </si>
  <si>
    <t>T3_est40</t>
  </si>
  <si>
    <t>T3_est41</t>
  </si>
  <si>
    <t>T3_est42</t>
  </si>
  <si>
    <t>T3_est43</t>
  </si>
  <si>
    <t>T3_est44</t>
  </si>
  <si>
    <t>T3_est45</t>
  </si>
  <si>
    <t>T3_est46</t>
  </si>
  <si>
    <t>T3_est47</t>
  </si>
  <si>
    <t>T3_est48</t>
  </si>
  <si>
    <t>T3_est49</t>
  </si>
  <si>
    <t>T3_est50</t>
  </si>
  <si>
    <t>T3_est51</t>
  </si>
  <si>
    <t>T3_est52</t>
  </si>
  <si>
    <t>T3_est53</t>
  </si>
  <si>
    <t>T3_est54</t>
  </si>
  <si>
    <t>T3_est55</t>
  </si>
  <si>
    <t>T3_est56</t>
  </si>
  <si>
    <t>T3_est57</t>
  </si>
  <si>
    <t>T3_est58</t>
  </si>
  <si>
    <t>T3_est59</t>
  </si>
  <si>
    <t>T3_est60</t>
  </si>
  <si>
    <t>T3_est61</t>
  </si>
  <si>
    <t>T3_est62</t>
  </si>
  <si>
    <t>T3_est63</t>
  </si>
  <si>
    <t>T3_est64</t>
  </si>
  <si>
    <t>T3_est65</t>
  </si>
  <si>
    <t>T3_est66</t>
  </si>
  <si>
    <t>T3_est67</t>
  </si>
  <si>
    <t>T3_est68</t>
  </si>
  <si>
    <t>T3_est69</t>
  </si>
  <si>
    <t>T3_est70</t>
  </si>
  <si>
    <t>T3_est71</t>
  </si>
  <si>
    <t>T3_est72</t>
  </si>
  <si>
    <t>T3_est73</t>
  </si>
  <si>
    <t>T3_est74</t>
  </si>
  <si>
    <t>T3_est75</t>
  </si>
  <si>
    <t>T3_est76</t>
  </si>
  <si>
    <t>T3_est77</t>
  </si>
  <si>
    <t>T3_est78</t>
  </si>
  <si>
    <t>T3_est79</t>
  </si>
  <si>
    <t>T3_est80</t>
  </si>
  <si>
    <t>T3_est81</t>
  </si>
  <si>
    <t>T3_est82</t>
  </si>
  <si>
    <t>T3_est83</t>
  </si>
  <si>
    <t>T3_est84</t>
  </si>
  <si>
    <t>T3_est85</t>
  </si>
  <si>
    <t>T3_est86</t>
  </si>
  <si>
    <t>T3_est87</t>
  </si>
  <si>
    <t>T4_est1</t>
  </si>
  <si>
    <t>Household type: All</t>
  </si>
  <si>
    <t>Household size: All</t>
  </si>
  <si>
    <t>T4_est2</t>
  </si>
  <si>
    <t>T4_est3</t>
  </si>
  <si>
    <t>1 of 4 housing problems: has 1 or more of the 4 housing problems</t>
  </si>
  <si>
    <t>T4_est4</t>
  </si>
  <si>
    <t>Household type: household type is family, no spouse*</t>
  </si>
  <si>
    <t>T4_est5</t>
  </si>
  <si>
    <t>Household size: household size is less than 5</t>
  </si>
  <si>
    <t>T4_est6</t>
  </si>
  <si>
    <t>Household size: household size is 5 or more</t>
  </si>
  <si>
    <t>T4_est7</t>
  </si>
  <si>
    <t>Household type: household type is married couple family</t>
  </si>
  <si>
    <t>T4_est8</t>
  </si>
  <si>
    <t>T4_est9</t>
  </si>
  <si>
    <t>T4_est10</t>
  </si>
  <si>
    <t>Household type: household type is non-family</t>
  </si>
  <si>
    <t>T4_est11</t>
  </si>
  <si>
    <t>T4_est12</t>
  </si>
  <si>
    <t>T4_est13</t>
  </si>
  <si>
    <t>T4_est14</t>
  </si>
  <si>
    <t>T4_est15</t>
  </si>
  <si>
    <t>T4_est16</t>
  </si>
  <si>
    <t>T4_est17</t>
  </si>
  <si>
    <t>T4_est18</t>
  </si>
  <si>
    <t>T4_est19</t>
  </si>
  <si>
    <t>T4_est20</t>
  </si>
  <si>
    <t>T4_est21</t>
  </si>
  <si>
    <t>T4_est22</t>
  </si>
  <si>
    <t>T4_est23</t>
  </si>
  <si>
    <t>T4_est24</t>
  </si>
  <si>
    <t>1 of 4 housing problems: cost burden not computed, household has none of the other housing problems</t>
  </si>
  <si>
    <t>T4_est25</t>
  </si>
  <si>
    <t>T4_est26</t>
  </si>
  <si>
    <t>T4_est27</t>
  </si>
  <si>
    <t>T4_est28</t>
  </si>
  <si>
    <t>T4_est29</t>
  </si>
  <si>
    <t>T4_est30</t>
  </si>
  <si>
    <t>T4_est31</t>
  </si>
  <si>
    <t>T4_est32</t>
  </si>
  <si>
    <t>T4_est33</t>
  </si>
  <si>
    <t>T4_est34</t>
  </si>
  <si>
    <t>T4_est35</t>
  </si>
  <si>
    <t>T4_est36</t>
  </si>
  <si>
    <t>T4_est37</t>
  </si>
  <si>
    <t>T4_est38</t>
  </si>
  <si>
    <t>T4_est39</t>
  </si>
  <si>
    <t>T4_est40</t>
  </si>
  <si>
    <t>T4_est41</t>
  </si>
  <si>
    <t>T4_est42</t>
  </si>
  <si>
    <t>T4_est43</t>
  </si>
  <si>
    <t>T4_est44</t>
  </si>
  <si>
    <t>T4_est45</t>
  </si>
  <si>
    <t>T4_est46</t>
  </si>
  <si>
    <t>T4_est47</t>
  </si>
  <si>
    <t>T4_est48</t>
  </si>
  <si>
    <t>T4_est49</t>
  </si>
  <si>
    <t>T4_est50</t>
  </si>
  <si>
    <t>T4_est51</t>
  </si>
  <si>
    <t>T4_est52</t>
  </si>
  <si>
    <t>T4_est53</t>
  </si>
  <si>
    <t>T4_est54</t>
  </si>
  <si>
    <t>T4_est55</t>
  </si>
  <si>
    <t>T4_est56</t>
  </si>
  <si>
    <t>T4_est57</t>
  </si>
  <si>
    <t>T4_est58</t>
  </si>
  <si>
    <t>T4_est59</t>
  </si>
  <si>
    <t>T4_est60</t>
  </si>
  <si>
    <t>T4_est61</t>
  </si>
  <si>
    <t>T4_est62</t>
  </si>
  <si>
    <t>T4_est63</t>
  </si>
  <si>
    <t>T5_est1</t>
  </si>
  <si>
    <t>Elderly occupant: All</t>
  </si>
  <si>
    <t>T5_est2</t>
  </si>
  <si>
    <t>T5_est3</t>
  </si>
  <si>
    <t>1 of 4 housing problems: has 1 or more of the 4 housing unit problems</t>
  </si>
  <si>
    <t>T5_est4</t>
  </si>
  <si>
    <t>T5_est5</t>
  </si>
  <si>
    <t>Elderly occupant: household contains at least 1 person age 62-74 but no one age 75+</t>
  </si>
  <si>
    <t>T5_est6</t>
  </si>
  <si>
    <t>Elderly occupant: household contains at least 1 person age 75+</t>
  </si>
  <si>
    <t>T5_est7</t>
  </si>
  <si>
    <t>Elderly occupant: household contains no one age 62+</t>
  </si>
  <si>
    <t>T5_est8</t>
  </si>
  <si>
    <t>T5_est9</t>
  </si>
  <si>
    <t>T5_est10</t>
  </si>
  <si>
    <t>T5_est11</t>
  </si>
  <si>
    <t>T5_est12</t>
  </si>
  <si>
    <t>T5_est13</t>
  </si>
  <si>
    <t>T5_est14</t>
  </si>
  <si>
    <t>T5_est15</t>
  </si>
  <si>
    <t>T5_est16</t>
  </si>
  <si>
    <t>T5_est17</t>
  </si>
  <si>
    <t>T5_est18</t>
  </si>
  <si>
    <t>T5_est19</t>
  </si>
  <si>
    <t>T5_est20</t>
  </si>
  <si>
    <t>T5_est21</t>
  </si>
  <si>
    <t>T5_est22</t>
  </si>
  <si>
    <t>T5_est23</t>
  </si>
  <si>
    <t>T5_est24</t>
  </si>
  <si>
    <t>1 of 4 housing problems: has none of the 4 housing unit problems</t>
  </si>
  <si>
    <t>T5_est25</t>
  </si>
  <si>
    <t>T5_est26</t>
  </si>
  <si>
    <t>T5_est27</t>
  </si>
  <si>
    <t>T5_est28</t>
  </si>
  <si>
    <t>T5_est29</t>
  </si>
  <si>
    <t>T5_est30</t>
  </si>
  <si>
    <t>T5_est31</t>
  </si>
  <si>
    <t>T5_est32</t>
  </si>
  <si>
    <t>T5_est33</t>
  </si>
  <si>
    <t>T5_est34</t>
  </si>
  <si>
    <t>T5_est35</t>
  </si>
  <si>
    <t>T5_est36</t>
  </si>
  <si>
    <t>T5_est37</t>
  </si>
  <si>
    <t>T5_est38</t>
  </si>
  <si>
    <t>T5_est39</t>
  </si>
  <si>
    <t>T5_est40</t>
  </si>
  <si>
    <t>T5_est41</t>
  </si>
  <si>
    <t>T5_est42</t>
  </si>
  <si>
    <t>T5_est43</t>
  </si>
  <si>
    <t>T5_est44</t>
  </si>
  <si>
    <t>T5_est45</t>
  </si>
  <si>
    <t>T5_est46</t>
  </si>
  <si>
    <t>T5_est47</t>
  </si>
  <si>
    <t>T5_est48</t>
  </si>
  <si>
    <t>T5_est49</t>
  </si>
  <si>
    <t>T5_est50</t>
  </si>
  <si>
    <t>T5_est51</t>
  </si>
  <si>
    <t>T5_est52</t>
  </si>
  <si>
    <t>T5_est53</t>
  </si>
  <si>
    <t>T5_est54</t>
  </si>
  <si>
    <t>T5_est55</t>
  </si>
  <si>
    <t>T5_est56</t>
  </si>
  <si>
    <t>T5_est57</t>
  </si>
  <si>
    <t>T5_est58</t>
  </si>
  <si>
    <t>T5_est59</t>
  </si>
  <si>
    <t>T5_est60</t>
  </si>
  <si>
    <t>T5_est61</t>
  </si>
  <si>
    <t>T5_est62</t>
  </si>
  <si>
    <t>T5_est63</t>
  </si>
  <si>
    <t>T5_est64</t>
  </si>
  <si>
    <t>T5_est65</t>
  </si>
  <si>
    <t>T5_est66</t>
  </si>
  <si>
    <t>T5_est67</t>
  </si>
  <si>
    <t>T5_est68</t>
  </si>
  <si>
    <t>T5_est69</t>
  </si>
  <si>
    <t>T5_est70</t>
  </si>
  <si>
    <t>T5_est71</t>
  </si>
  <si>
    <t>T5_est72</t>
  </si>
  <si>
    <t>T5_est73</t>
  </si>
  <si>
    <t>T5_est74</t>
  </si>
  <si>
    <t>T5_est75</t>
  </si>
  <si>
    <t>T5_est76</t>
  </si>
  <si>
    <t>T5_est77</t>
  </si>
  <si>
    <t>T5_est78</t>
  </si>
  <si>
    <t>T5_est79</t>
  </si>
  <si>
    <t>T5_est80</t>
  </si>
  <si>
    <t>T5_est81</t>
  </si>
  <si>
    <t>T5_est82</t>
  </si>
  <si>
    <t>T5_est83</t>
  </si>
  <si>
    <t>T5_est84</t>
  </si>
  <si>
    <t>T5_est85</t>
  </si>
  <si>
    <t>T5_est86</t>
  </si>
  <si>
    <t>T5_est87</t>
  </si>
  <si>
    <t>T5_est88</t>
  </si>
  <si>
    <t>T5_est89</t>
  </si>
  <si>
    <t>T5_est90</t>
  </si>
  <si>
    <t>T5_est91</t>
  </si>
  <si>
    <t>T5_est92</t>
  </si>
  <si>
    <t>T5_est93</t>
  </si>
  <si>
    <t>T5_est94</t>
  </si>
  <si>
    <t>T5_est95</t>
  </si>
  <si>
    <t>T5_est96</t>
  </si>
  <si>
    <t>T5_est97</t>
  </si>
  <si>
    <t>T5_est98</t>
  </si>
  <si>
    <t>T5_est99</t>
  </si>
  <si>
    <t>T5_est100</t>
  </si>
  <si>
    <t>T5_est101</t>
  </si>
  <si>
    <t>T5_est102</t>
  </si>
  <si>
    <t>T5_est103</t>
  </si>
  <si>
    <t>T5_est104</t>
  </si>
  <si>
    <t>T5_est105</t>
  </si>
  <si>
    <t>T5_est106</t>
  </si>
  <si>
    <t>T5_est107</t>
  </si>
  <si>
    <t>T5_est108</t>
  </si>
  <si>
    <t>T5_est109</t>
  </si>
  <si>
    <t>T5_est110</t>
  </si>
  <si>
    <t>T5_est111</t>
  </si>
  <si>
    <t>T5_est112</t>
  </si>
  <si>
    <t>T5_est113</t>
  </si>
  <si>
    <t>T5_est114</t>
  </si>
  <si>
    <t>T5_est115</t>
  </si>
  <si>
    <t>T5_est116</t>
  </si>
  <si>
    <t>T5_est117</t>
  </si>
  <si>
    <t>T5_est118</t>
  </si>
  <si>
    <t>T5_est119</t>
  </si>
  <si>
    <t>T5_est120</t>
  </si>
  <si>
    <t>T5_est121</t>
  </si>
  <si>
    <t>T5_est122</t>
  </si>
  <si>
    <t>T5_est123</t>
  </si>
  <si>
    <t>T5_est124</t>
  </si>
  <si>
    <t>T5_est125</t>
  </si>
  <si>
    <t>T5_est126</t>
  </si>
  <si>
    <t>T5_est127</t>
  </si>
  <si>
    <t>T5_est128</t>
  </si>
  <si>
    <t>T5_est129</t>
  </si>
  <si>
    <t>T6_est1</t>
  </si>
  <si>
    <t>Tenure: All</t>
  </si>
  <si>
    <t>Disability status: All</t>
  </si>
  <si>
    <t>T6_est2</t>
  </si>
  <si>
    <t>Independent</t>
  </si>
  <si>
    <t>Tenure: Tenure: All</t>
  </si>
  <si>
    <t>Disability status: Household member has a hearing or vision impairment</t>
  </si>
  <si>
    <t>T6_est3</t>
  </si>
  <si>
    <t>Household income: Household income is less than or equal to 30% of HAMFI</t>
  </si>
  <si>
    <t>T6_est4</t>
  </si>
  <si>
    <t>T6_est5</t>
  </si>
  <si>
    <t>T6_est6</t>
  </si>
  <si>
    <t>T6_est7</t>
  </si>
  <si>
    <t>Household income: Household income is greater than 30% but less than or equal to 50% of HAMFI</t>
  </si>
  <si>
    <t>T6_est8</t>
  </si>
  <si>
    <t>T6_est9</t>
  </si>
  <si>
    <t>T6_est10</t>
  </si>
  <si>
    <t>T6_est11</t>
  </si>
  <si>
    <t>Household income: Household income is greater than 50% but less than or equal to 80% of HAMFI</t>
  </si>
  <si>
    <t>T6_est12</t>
  </si>
  <si>
    <t>T6_est13</t>
  </si>
  <si>
    <t>T6_est14</t>
  </si>
  <si>
    <t>T6_est15</t>
  </si>
  <si>
    <t>Household income: Household income is greater than 80% of HAMFI</t>
  </si>
  <si>
    <t>T6_est16</t>
  </si>
  <si>
    <t>T6_est17</t>
  </si>
  <si>
    <t>T6_est18</t>
  </si>
  <si>
    <t>T6_est19</t>
  </si>
  <si>
    <t>Disability status: Household member has an ambulatory limitation</t>
  </si>
  <si>
    <t>T6_est20</t>
  </si>
  <si>
    <t>T6_est21</t>
  </si>
  <si>
    <t>T6_est22</t>
  </si>
  <si>
    <t>T6_est23</t>
  </si>
  <si>
    <t>T6_est24</t>
  </si>
  <si>
    <t>T6_est25</t>
  </si>
  <si>
    <t>T6_est26</t>
  </si>
  <si>
    <t>T6_est27</t>
  </si>
  <si>
    <t>T6_est28</t>
  </si>
  <si>
    <t>T6_est29</t>
  </si>
  <si>
    <t>T6_est30</t>
  </si>
  <si>
    <t>T6_est31</t>
  </si>
  <si>
    <t>T6_est32</t>
  </si>
  <si>
    <t>T6_est33</t>
  </si>
  <si>
    <t>T6_est34</t>
  </si>
  <si>
    <t>T6_est35</t>
  </si>
  <si>
    <t>T6_est36</t>
  </si>
  <si>
    <t>Disability status: Household member has a cognitive limitation</t>
  </si>
  <si>
    <t>T6_est37</t>
  </si>
  <si>
    <t>T6_est38</t>
  </si>
  <si>
    <t>T6_est39</t>
  </si>
  <si>
    <t>T6_est40</t>
  </si>
  <si>
    <t>T6_est41</t>
  </si>
  <si>
    <t>T6_est42</t>
  </si>
  <si>
    <t>T6_est43</t>
  </si>
  <si>
    <t>T6_est44</t>
  </si>
  <si>
    <t>T6_est45</t>
  </si>
  <si>
    <t>T6_est46</t>
  </si>
  <si>
    <t>T6_est47</t>
  </si>
  <si>
    <t>T6_est48</t>
  </si>
  <si>
    <t>T6_est49</t>
  </si>
  <si>
    <t>T6_est50</t>
  </si>
  <si>
    <t>T6_est51</t>
  </si>
  <si>
    <t>T6_est52</t>
  </si>
  <si>
    <t>T6_est53</t>
  </si>
  <si>
    <t>Disability status: Household member has a self-care or independent living limitation</t>
  </si>
  <si>
    <t>T6_est54</t>
  </si>
  <si>
    <t>T6_est55</t>
  </si>
  <si>
    <t>T6_est56</t>
  </si>
  <si>
    <t>T6_est57</t>
  </si>
  <si>
    <t>T6_est58</t>
  </si>
  <si>
    <t>T6_est59</t>
  </si>
  <si>
    <t>T6_est60</t>
  </si>
  <si>
    <t>T6_est61</t>
  </si>
  <si>
    <t>T6_est62</t>
  </si>
  <si>
    <t>T6_est63</t>
  </si>
  <si>
    <t>T6_est64</t>
  </si>
  <si>
    <t>T6_est65</t>
  </si>
  <si>
    <t>T6_est66</t>
  </si>
  <si>
    <t>T6_est67</t>
  </si>
  <si>
    <t>T6_est68</t>
  </si>
  <si>
    <t>T6_est69</t>
  </si>
  <si>
    <t>T6_est70</t>
  </si>
  <si>
    <t>Disability status: Household member has none of the above limitations</t>
  </si>
  <si>
    <t>T6_est71</t>
  </si>
  <si>
    <t>T6_est72</t>
  </si>
  <si>
    <t>T6_est73</t>
  </si>
  <si>
    <t>T6_est74</t>
  </si>
  <si>
    <t>T6_est75</t>
  </si>
  <si>
    <t>T6_est76</t>
  </si>
  <si>
    <t>T6_est77</t>
  </si>
  <si>
    <t>T6_est78</t>
  </si>
  <si>
    <t>T6_est79</t>
  </si>
  <si>
    <t>T6_est80</t>
  </si>
  <si>
    <t>T6_est81</t>
  </si>
  <si>
    <t>T6_est82</t>
  </si>
  <si>
    <t>T6_est83</t>
  </si>
  <si>
    <t>T6_est84</t>
  </si>
  <si>
    <t>T6_est85</t>
  </si>
  <si>
    <t>T6_est86</t>
  </si>
  <si>
    <t>T6_est87</t>
  </si>
  <si>
    <t>T6_est88</t>
  </si>
  <si>
    <t>T6_est89</t>
  </si>
  <si>
    <t>T6_est90</t>
  </si>
  <si>
    <t>T6_est91</t>
  </si>
  <si>
    <t>T6_est92</t>
  </si>
  <si>
    <t>T6_est93</t>
  </si>
  <si>
    <t>T6_est94</t>
  </si>
  <si>
    <t>T6_est95</t>
  </si>
  <si>
    <t>T6_est96</t>
  </si>
  <si>
    <t>T6_est97</t>
  </si>
  <si>
    <t>T6_est98</t>
  </si>
  <si>
    <t>T6_est99</t>
  </si>
  <si>
    <t>T6_est100</t>
  </si>
  <si>
    <t>T6_est101</t>
  </si>
  <si>
    <t>T6_est102</t>
  </si>
  <si>
    <t>T6_est103</t>
  </si>
  <si>
    <t>T6_est104</t>
  </si>
  <si>
    <t>T6_est105</t>
  </si>
  <si>
    <t>T6_est106</t>
  </si>
  <si>
    <t>T6_est107</t>
  </si>
  <si>
    <t>T6_est108</t>
  </si>
  <si>
    <t>T6_est109</t>
  </si>
  <si>
    <t>T6_est110</t>
  </si>
  <si>
    <t>T6_est111</t>
  </si>
  <si>
    <t>T6_est112</t>
  </si>
  <si>
    <t>T6_est113</t>
  </si>
  <si>
    <t>T6_est114</t>
  </si>
  <si>
    <t>T6_est115</t>
  </si>
  <si>
    <t>T6_est116</t>
  </si>
  <si>
    <t>T6_est117</t>
  </si>
  <si>
    <t>T6_est118</t>
  </si>
  <si>
    <t>T6_est119</t>
  </si>
  <si>
    <t>T6_est120</t>
  </si>
  <si>
    <t>T6_est121</t>
  </si>
  <si>
    <t>T6_est122</t>
  </si>
  <si>
    <t>T6_est123</t>
  </si>
  <si>
    <t>T6_est124</t>
  </si>
  <si>
    <t>T6_est125</t>
  </si>
  <si>
    <t>T6_est126</t>
  </si>
  <si>
    <t>T6_est127</t>
  </si>
  <si>
    <t>T6_est128</t>
  </si>
  <si>
    <t>T6_est129</t>
  </si>
  <si>
    <t>T6_est130</t>
  </si>
  <si>
    <t>T6_est131</t>
  </si>
  <si>
    <t>T6_est132</t>
  </si>
  <si>
    <t>T6_est133</t>
  </si>
  <si>
    <t>T6_est134</t>
  </si>
  <si>
    <t>T6_est135</t>
  </si>
  <si>
    <t>T6_est136</t>
  </si>
  <si>
    <t>T6_est137</t>
  </si>
  <si>
    <t>T6_est138</t>
  </si>
  <si>
    <t>T6_est139</t>
  </si>
  <si>
    <t>T6_est140</t>
  </si>
  <si>
    <t>T6_est141</t>
  </si>
  <si>
    <t>T6_est142</t>
  </si>
  <si>
    <t>T6_est143</t>
  </si>
  <si>
    <t>T6_est144</t>
  </si>
  <si>
    <t>T6_est145</t>
  </si>
  <si>
    <t>T6_est146</t>
  </si>
  <si>
    <t>T6_est147</t>
  </si>
  <si>
    <t>T6_est148</t>
  </si>
  <si>
    <t>T6_est149</t>
  </si>
  <si>
    <t>T6_est150</t>
  </si>
  <si>
    <t>T6_est151</t>
  </si>
  <si>
    <t>T6_est152</t>
  </si>
  <si>
    <t>T6_est153</t>
  </si>
  <si>
    <t>T6_est154</t>
  </si>
  <si>
    <t>T6_est155</t>
  </si>
  <si>
    <t>T6_est156</t>
  </si>
  <si>
    <t>T6_est157</t>
  </si>
  <si>
    <t>T6_est158</t>
  </si>
  <si>
    <t>T6_est159</t>
  </si>
  <si>
    <t>T6_est160</t>
  </si>
  <si>
    <t>T6_est161</t>
  </si>
  <si>
    <t>T6_est162</t>
  </si>
  <si>
    <t>T6_est163</t>
  </si>
  <si>
    <t>T6_est164</t>
  </si>
  <si>
    <t>T6_est165</t>
  </si>
  <si>
    <t>T6_est166</t>
  </si>
  <si>
    <t>T6_est167</t>
  </si>
  <si>
    <t>T6_est168</t>
  </si>
  <si>
    <t>T6_est169</t>
  </si>
  <si>
    <t>T6_est170</t>
  </si>
  <si>
    <t>T6_est171</t>
  </si>
  <si>
    <t>T6_est172</t>
  </si>
  <si>
    <t>T7_est1</t>
  </si>
  <si>
    <t>Cost burden: All</t>
  </si>
  <si>
    <t>T7_est2</t>
  </si>
  <si>
    <t>T7_est3</t>
  </si>
  <si>
    <t>Household income: household income is less than or equal to 30% of HAMFI</t>
  </si>
  <si>
    <t>T7_est4</t>
  </si>
  <si>
    <t>Household type: household type is elderly family (2 persons, with either or both age 62 or over)</t>
  </si>
  <si>
    <t>T7_est5</t>
  </si>
  <si>
    <t>Cost burden: housing cost burden is less than or equal to 30%</t>
  </si>
  <si>
    <t>T7_est6</t>
  </si>
  <si>
    <t>Cost burden: housing cost burden is greater than 30% but less than or equal to 50%</t>
  </si>
  <si>
    <t>T7_est7</t>
  </si>
  <si>
    <t>Cost burden: housing cost burden is greater than 50%</t>
  </si>
  <si>
    <t>T7_est8</t>
  </si>
  <si>
    <t>Cost burden: housing cost burden not computed (household has no/negative income)</t>
  </si>
  <si>
    <t>T7_est9</t>
  </si>
  <si>
    <t>Household type: household type is small family (2 persons, neither person 62 years or over, or 3 or 4 persons)</t>
  </si>
  <si>
    <t>T7_est10</t>
  </si>
  <si>
    <t>T7_est11</t>
  </si>
  <si>
    <t>T7_est12</t>
  </si>
  <si>
    <t>T7_est13</t>
  </si>
  <si>
    <t>T7_est14</t>
  </si>
  <si>
    <t>Household type: household type is large family (5 or more persons)</t>
  </si>
  <si>
    <t>T7_est15</t>
  </si>
  <si>
    <t>T7_est16</t>
  </si>
  <si>
    <t>T7_est17</t>
  </si>
  <si>
    <t>T7_est18</t>
  </si>
  <si>
    <t>T7_est19</t>
  </si>
  <si>
    <t>Household type: household type is elderly non-family</t>
  </si>
  <si>
    <t>T7_est20</t>
  </si>
  <si>
    <t>T7_est21</t>
  </si>
  <si>
    <t>T7_est22</t>
  </si>
  <si>
    <t>T7_est23</t>
  </si>
  <si>
    <t>T7_est24</t>
  </si>
  <si>
    <t>Household type: other household type (non-elderly non-family)</t>
  </si>
  <si>
    <t>T7_est25</t>
  </si>
  <si>
    <t>T7_est26</t>
  </si>
  <si>
    <t>T7_est27</t>
  </si>
  <si>
    <t>T7_est28</t>
  </si>
  <si>
    <t>T7_est29</t>
  </si>
  <si>
    <t>Household income: household income is greater than 30% but less than or equal to 50% of HAMFI</t>
  </si>
  <si>
    <t>T7_est30</t>
  </si>
  <si>
    <t>T7_est31</t>
  </si>
  <si>
    <t>T7_est32</t>
  </si>
  <si>
    <t>T7_est33</t>
  </si>
  <si>
    <t>T7_est34</t>
  </si>
  <si>
    <t>T7_est35</t>
  </si>
  <si>
    <t>T7_est36</t>
  </si>
  <si>
    <t>T7_est37</t>
  </si>
  <si>
    <t>T7_est38</t>
  </si>
  <si>
    <t>T7_est39</t>
  </si>
  <si>
    <t>T7_est40</t>
  </si>
  <si>
    <t>T7_est41</t>
  </si>
  <si>
    <t>T7_est42</t>
  </si>
  <si>
    <t>T7_est43</t>
  </si>
  <si>
    <t>T7_est44</t>
  </si>
  <si>
    <t>T7_est45</t>
  </si>
  <si>
    <t>T7_est46</t>
  </si>
  <si>
    <t>T7_est47</t>
  </si>
  <si>
    <t>T7_est48</t>
  </si>
  <si>
    <t>T7_est49</t>
  </si>
  <si>
    <t>T7_est50</t>
  </si>
  <si>
    <t>T7_est51</t>
  </si>
  <si>
    <t>T7_est52</t>
  </si>
  <si>
    <t>T7_est53</t>
  </si>
  <si>
    <t>T7_est54</t>
  </si>
  <si>
    <t>T7_est55</t>
  </si>
  <si>
    <t>Household income: household income is greater than 50% but less than or equal to 80% of HAMFI</t>
  </si>
  <si>
    <t>T7_est56</t>
  </si>
  <si>
    <t>T7_est57</t>
  </si>
  <si>
    <t>T7_est58</t>
  </si>
  <si>
    <t>T7_est59</t>
  </si>
  <si>
    <t>T7_est60</t>
  </si>
  <si>
    <t>T7_est61</t>
  </si>
  <si>
    <t>T7_est62</t>
  </si>
  <si>
    <t>T7_est63</t>
  </si>
  <si>
    <t>T7_est64</t>
  </si>
  <si>
    <t>T7_est65</t>
  </si>
  <si>
    <t>T7_est66</t>
  </si>
  <si>
    <t>T7_est67</t>
  </si>
  <si>
    <t>T7_est68</t>
  </si>
  <si>
    <t>T7_est69</t>
  </si>
  <si>
    <t>T7_est70</t>
  </si>
  <si>
    <t>T7_est71</t>
  </si>
  <si>
    <t>T7_est72</t>
  </si>
  <si>
    <t>T7_est73</t>
  </si>
  <si>
    <t>T7_est74</t>
  </si>
  <si>
    <t>T7_est75</t>
  </si>
  <si>
    <t>T7_est76</t>
  </si>
  <si>
    <t>T7_est77</t>
  </si>
  <si>
    <t>T7_est78</t>
  </si>
  <si>
    <t>T7_est79</t>
  </si>
  <si>
    <t>T7_est80</t>
  </si>
  <si>
    <t>T7_est81</t>
  </si>
  <si>
    <t>Household income: household income is greater than 80% but less than or equal to 100% of HAMFI</t>
  </si>
  <si>
    <t>T7_est82</t>
  </si>
  <si>
    <t>T7_est83</t>
  </si>
  <si>
    <t>T7_est84</t>
  </si>
  <si>
    <t>T7_est85</t>
  </si>
  <si>
    <t>T7_est86</t>
  </si>
  <si>
    <t>T7_est87</t>
  </si>
  <si>
    <t>T7_est88</t>
  </si>
  <si>
    <t>T7_est89</t>
  </si>
  <si>
    <t>T7_est90</t>
  </si>
  <si>
    <t>T7_est91</t>
  </si>
  <si>
    <t>T7_est92</t>
  </si>
  <si>
    <t>T7_est93</t>
  </si>
  <si>
    <t>T7_est94</t>
  </si>
  <si>
    <t>T7_est95</t>
  </si>
  <si>
    <t>T7_est96</t>
  </si>
  <si>
    <t>T7_est97</t>
  </si>
  <si>
    <t>T7_est98</t>
  </si>
  <si>
    <t>T7_est99</t>
  </si>
  <si>
    <t>T7_est100</t>
  </si>
  <si>
    <t>T7_est101</t>
  </si>
  <si>
    <t>T7_est102</t>
  </si>
  <si>
    <t>T7_est103</t>
  </si>
  <si>
    <t>T7_est104</t>
  </si>
  <si>
    <t>T7_est105</t>
  </si>
  <si>
    <t>T7_est106</t>
  </si>
  <si>
    <t>T7_est107</t>
  </si>
  <si>
    <t>Household income: household income is greater than 100% of HAMFI</t>
  </si>
  <si>
    <t>T7_est108</t>
  </si>
  <si>
    <t>T7_est109</t>
  </si>
  <si>
    <t>T7_est110</t>
  </si>
  <si>
    <t>T7_est111</t>
  </si>
  <si>
    <t>T7_est112</t>
  </si>
  <si>
    <t>T7_est113</t>
  </si>
  <si>
    <t>T7_est114</t>
  </si>
  <si>
    <t>T7_est115</t>
  </si>
  <si>
    <t>T7_est116</t>
  </si>
  <si>
    <t>T7_est117</t>
  </si>
  <si>
    <t>T7_est118</t>
  </si>
  <si>
    <t>T7_est119</t>
  </si>
  <si>
    <t>T7_est120</t>
  </si>
  <si>
    <t>T7_est121</t>
  </si>
  <si>
    <t>T7_est122</t>
  </si>
  <si>
    <t>T7_est123</t>
  </si>
  <si>
    <t>T7_est124</t>
  </si>
  <si>
    <t>T7_est125</t>
  </si>
  <si>
    <t>T7_est126</t>
  </si>
  <si>
    <t>T7_est127</t>
  </si>
  <si>
    <t>T7_est128</t>
  </si>
  <si>
    <t>T7_est129</t>
  </si>
  <si>
    <t>T7_est130</t>
  </si>
  <si>
    <t>T7_est131</t>
  </si>
  <si>
    <t>T7_est132</t>
  </si>
  <si>
    <t>T7_est133</t>
  </si>
  <si>
    <t>T7_est134</t>
  </si>
  <si>
    <t>T7_est135</t>
  </si>
  <si>
    <t>T7_est136</t>
  </si>
  <si>
    <t>T7_est137</t>
  </si>
  <si>
    <t>T7_est138</t>
  </si>
  <si>
    <t>T7_est139</t>
  </si>
  <si>
    <t>T7_est140</t>
  </si>
  <si>
    <t>T7_est141</t>
  </si>
  <si>
    <t>T7_est142</t>
  </si>
  <si>
    <t>T7_est143</t>
  </si>
  <si>
    <t>T7_est144</t>
  </si>
  <si>
    <t>T7_est145</t>
  </si>
  <si>
    <t>T7_est146</t>
  </si>
  <si>
    <t>T7_est147</t>
  </si>
  <si>
    <t>T7_est148</t>
  </si>
  <si>
    <t>T7_est149</t>
  </si>
  <si>
    <t>T7_est150</t>
  </si>
  <si>
    <t>T7_est151</t>
  </si>
  <si>
    <t>T7_est152</t>
  </si>
  <si>
    <t>T7_est153</t>
  </si>
  <si>
    <t>T7_est154</t>
  </si>
  <si>
    <t>T7_est155</t>
  </si>
  <si>
    <t>T7_est156</t>
  </si>
  <si>
    <t>T7_est157</t>
  </si>
  <si>
    <t>T7_est158</t>
  </si>
  <si>
    <t>T7_est159</t>
  </si>
  <si>
    <t>T7_est160</t>
  </si>
  <si>
    <t>T7_est161</t>
  </si>
  <si>
    <t>T7_est162</t>
  </si>
  <si>
    <t>T7_est163</t>
  </si>
  <si>
    <t>T7_est164</t>
  </si>
  <si>
    <t>T7_est165</t>
  </si>
  <si>
    <t>T7_est166</t>
  </si>
  <si>
    <t>T7_est167</t>
  </si>
  <si>
    <t>T7_est168</t>
  </si>
  <si>
    <t>T7_est169</t>
  </si>
  <si>
    <t>T7_est170</t>
  </si>
  <si>
    <t>T7_est171</t>
  </si>
  <si>
    <t>T7_est172</t>
  </si>
  <si>
    <t>T7_est173</t>
  </si>
  <si>
    <t>T7_est174</t>
  </si>
  <si>
    <t>T7_est175</t>
  </si>
  <si>
    <t>T7_est176</t>
  </si>
  <si>
    <t>T7_est177</t>
  </si>
  <si>
    <t>T7_est178</t>
  </si>
  <si>
    <t>T7_est179</t>
  </si>
  <si>
    <t>T7_est180</t>
  </si>
  <si>
    <t>T7_est181</t>
  </si>
  <si>
    <t>T7_est182</t>
  </si>
  <si>
    <t>T7_est183</t>
  </si>
  <si>
    <t>T7_est184</t>
  </si>
  <si>
    <t>T7_est185</t>
  </si>
  <si>
    <t>T7_est186</t>
  </si>
  <si>
    <t>T7_est187</t>
  </si>
  <si>
    <t>T7_est188</t>
  </si>
  <si>
    <t>T7_est189</t>
  </si>
  <si>
    <t>T7_est190</t>
  </si>
  <si>
    <t>T7_est191</t>
  </si>
  <si>
    <t>T7_est192</t>
  </si>
  <si>
    <t>T7_est193</t>
  </si>
  <si>
    <t>T7_est194</t>
  </si>
  <si>
    <t>T7_est195</t>
  </si>
  <si>
    <t>T7_est196</t>
  </si>
  <si>
    <t>T7_est197</t>
  </si>
  <si>
    <t>T7_est198</t>
  </si>
  <si>
    <t>T7_est199</t>
  </si>
  <si>
    <t>T7_est200</t>
  </si>
  <si>
    <t>T7_est201</t>
  </si>
  <si>
    <t>T7_est202</t>
  </si>
  <si>
    <t>T7_est203</t>
  </si>
  <si>
    <t>T7_est204</t>
  </si>
  <si>
    <t>T7_est205</t>
  </si>
  <si>
    <t>T7_est206</t>
  </si>
  <si>
    <t>T7_est207</t>
  </si>
  <si>
    <t>T7_est208</t>
  </si>
  <si>
    <t>T7_est209</t>
  </si>
  <si>
    <t>T7_est210</t>
  </si>
  <si>
    <t>T7_est211</t>
  </si>
  <si>
    <t>T7_est212</t>
  </si>
  <si>
    <t>T7_est213</t>
  </si>
  <si>
    <t>T7_est214</t>
  </si>
  <si>
    <t>T7_est215</t>
  </si>
  <si>
    <t>T7_est216</t>
  </si>
  <si>
    <t>T7_est217</t>
  </si>
  <si>
    <t>T7_est218</t>
  </si>
  <si>
    <t>T7_est219</t>
  </si>
  <si>
    <t>T7_est220</t>
  </si>
  <si>
    <t>T7_est221</t>
  </si>
  <si>
    <t>T7_est222</t>
  </si>
  <si>
    <t>T7_est223</t>
  </si>
  <si>
    <t>T7_est224</t>
  </si>
  <si>
    <t>T7_est225</t>
  </si>
  <si>
    <t>T7_est226</t>
  </si>
  <si>
    <t>T7_est227</t>
  </si>
  <si>
    <t>T7_est228</t>
  </si>
  <si>
    <t>T7_est229</t>
  </si>
  <si>
    <t>T7_est230</t>
  </si>
  <si>
    <t>T7_est231</t>
  </si>
  <si>
    <t>T7_est232</t>
  </si>
  <si>
    <t>T7_est233</t>
  </si>
  <si>
    <t>T7_est234</t>
  </si>
  <si>
    <t>T7_est235</t>
  </si>
  <si>
    <t>T7_est236</t>
  </si>
  <si>
    <t>T7_est237</t>
  </si>
  <si>
    <t>T7_est238</t>
  </si>
  <si>
    <t>T7_est239</t>
  </si>
  <si>
    <t>T7_est240</t>
  </si>
  <si>
    <t>T7_est241</t>
  </si>
  <si>
    <t>T7_est242</t>
  </si>
  <si>
    <t>T7_est243</t>
  </si>
  <si>
    <t>T7_est244</t>
  </si>
  <si>
    <t>T7_est245</t>
  </si>
  <si>
    <t>T7_est246</t>
  </si>
  <si>
    <t>T7_est247</t>
  </si>
  <si>
    <t>T7_est248</t>
  </si>
  <si>
    <t>T7_est249</t>
  </si>
  <si>
    <t>T7_est250</t>
  </si>
  <si>
    <t>T7_est251</t>
  </si>
  <si>
    <t>T7_est252</t>
  </si>
  <si>
    <t>T7_est253</t>
  </si>
  <si>
    <t>T7_est254</t>
  </si>
  <si>
    <t>T7_est255</t>
  </si>
  <si>
    <t>T7_est256</t>
  </si>
  <si>
    <t>T7_est257</t>
  </si>
  <si>
    <t>T7_est258</t>
  </si>
  <si>
    <t>T7_est259</t>
  </si>
  <si>
    <t>Cost burden:</t>
  </si>
  <si>
    <t>T7_est260</t>
  </si>
  <si>
    <t>T7_est261</t>
  </si>
  <si>
    <t>T7_est262</t>
  </si>
  <si>
    <t>T7_est263</t>
  </si>
  <si>
    <t>T8_est1</t>
  </si>
  <si>
    <t>Facilities: All</t>
  </si>
  <si>
    <t>T8_est2</t>
  </si>
  <si>
    <t>T8_est3</t>
  </si>
  <si>
    <t>T8_est4</t>
  </si>
  <si>
    <t>Cost burden: less than or equal to 30%</t>
  </si>
  <si>
    <t>T8_est5</t>
  </si>
  <si>
    <t>Facilities: housing unit lacks complete plumbing or kitchen facilities</t>
  </si>
  <si>
    <t>T8_est6</t>
  </si>
  <si>
    <t>Facilities: housing unit has complete plumbing and kitchen facilities</t>
  </si>
  <si>
    <t>T8_est7</t>
  </si>
  <si>
    <t>Cost burden: greater than 30% but less than or equal to 50%</t>
  </si>
  <si>
    <t>T8_est8</t>
  </si>
  <si>
    <t>T8_est9</t>
  </si>
  <si>
    <t>T8_est10</t>
  </si>
  <si>
    <t>Cost burden: greater than 50%</t>
  </si>
  <si>
    <t>T8_est11</t>
  </si>
  <si>
    <t>T8_est12</t>
  </si>
  <si>
    <t>T8_est13</t>
  </si>
  <si>
    <t>Cost burden: not computed (no/negative income)</t>
  </si>
  <si>
    <t>T8_est14</t>
  </si>
  <si>
    <t>T8_est15</t>
  </si>
  <si>
    <t>T8_est16</t>
  </si>
  <si>
    <t>T8_est17</t>
  </si>
  <si>
    <t>T8_est18</t>
  </si>
  <si>
    <t>T8_est19</t>
  </si>
  <si>
    <t>T8_est20</t>
  </si>
  <si>
    <t>T8_est21</t>
  </si>
  <si>
    <t>T8_est22</t>
  </si>
  <si>
    <t>T8_est23</t>
  </si>
  <si>
    <t>T8_est24</t>
  </si>
  <si>
    <t>T8_est25</t>
  </si>
  <si>
    <t>T8_est26</t>
  </si>
  <si>
    <t>T8_est27</t>
  </si>
  <si>
    <t>T8_est28</t>
  </si>
  <si>
    <t>T8_est29</t>
  </si>
  <si>
    <t>T8_est30</t>
  </si>
  <si>
    <t>T8_est31</t>
  </si>
  <si>
    <t>T8_est32</t>
  </si>
  <si>
    <t>T8_est33</t>
  </si>
  <si>
    <t>T8_est34</t>
  </si>
  <si>
    <t>T8_est35</t>
  </si>
  <si>
    <t>T8_est36</t>
  </si>
  <si>
    <t>T8_est37</t>
  </si>
  <si>
    <t>T8_est38</t>
  </si>
  <si>
    <t>T8_est39</t>
  </si>
  <si>
    <t>T8_est40</t>
  </si>
  <si>
    <t>T8_est41</t>
  </si>
  <si>
    <t>T8_est42</t>
  </si>
  <si>
    <t>T8_est43</t>
  </si>
  <si>
    <t>T8_est44</t>
  </si>
  <si>
    <t>T8_est45</t>
  </si>
  <si>
    <t>T8_est46</t>
  </si>
  <si>
    <t>T8_est47</t>
  </si>
  <si>
    <t>T8_est48</t>
  </si>
  <si>
    <t>T8_est49</t>
  </si>
  <si>
    <t>T8_est50</t>
  </si>
  <si>
    <t>T8_est51</t>
  </si>
  <si>
    <t>T8_est52</t>
  </si>
  <si>
    <t>T8_est53</t>
  </si>
  <si>
    <t>T8_est54</t>
  </si>
  <si>
    <t>T8_est55</t>
  </si>
  <si>
    <t>T8_est56</t>
  </si>
  <si>
    <t>T8_est57</t>
  </si>
  <si>
    <t>T8_est58</t>
  </si>
  <si>
    <t>T8_est59</t>
  </si>
  <si>
    <t>T8_est60</t>
  </si>
  <si>
    <t>T8_est61</t>
  </si>
  <si>
    <t>T8_est62</t>
  </si>
  <si>
    <t>T8_est63</t>
  </si>
  <si>
    <t>T8_est64</t>
  </si>
  <si>
    <t>T8_est65</t>
  </si>
  <si>
    <t>T8_est66</t>
  </si>
  <si>
    <t>T8_est67</t>
  </si>
  <si>
    <t>T8_est68</t>
  </si>
  <si>
    <t>T8_est69</t>
  </si>
  <si>
    <t>T8_est70</t>
  </si>
  <si>
    <t>T8_est71</t>
  </si>
  <si>
    <t>T8_est72</t>
  </si>
  <si>
    <t>T8_est73</t>
  </si>
  <si>
    <t>T8_est74</t>
  </si>
  <si>
    <t>T8_est75</t>
  </si>
  <si>
    <t>T8_est76</t>
  </si>
  <si>
    <t>T8_est77</t>
  </si>
  <si>
    <t>T8_est78</t>
  </si>
  <si>
    <t>T8_est79</t>
  </si>
  <si>
    <t>T8_est80</t>
  </si>
  <si>
    <t>T8_est81</t>
  </si>
  <si>
    <t>T8_est82</t>
  </si>
  <si>
    <t>T8_est83</t>
  </si>
  <si>
    <t>T8_est84</t>
  </si>
  <si>
    <t>T8_est85</t>
  </si>
  <si>
    <t>T8_est86</t>
  </si>
  <si>
    <t>T8_est87</t>
  </si>
  <si>
    <t>T8_est88</t>
  </si>
  <si>
    <t>T8_est89</t>
  </si>
  <si>
    <t>T8_est90</t>
  </si>
  <si>
    <t>T8_est91</t>
  </si>
  <si>
    <t>T8_est92</t>
  </si>
  <si>
    <t>T8_est93</t>
  </si>
  <si>
    <t>T8_est94</t>
  </si>
  <si>
    <t>T8_est95</t>
  </si>
  <si>
    <t>T8_est96</t>
  </si>
  <si>
    <t>T8_est97</t>
  </si>
  <si>
    <t>T8_est98</t>
  </si>
  <si>
    <t>T8_est99</t>
  </si>
  <si>
    <t>T8_est100</t>
  </si>
  <si>
    <t>T8_est101</t>
  </si>
  <si>
    <t>T8_est102</t>
  </si>
  <si>
    <t>T8_est103</t>
  </si>
  <si>
    <t>T8_est104</t>
  </si>
  <si>
    <t>T8_est105</t>
  </si>
  <si>
    <t>T8_est106</t>
  </si>
  <si>
    <t>T8_est107</t>
  </si>
  <si>
    <t>T8_est108</t>
  </si>
  <si>
    <t>T8_est109</t>
  </si>
  <si>
    <t>T8_est110</t>
  </si>
  <si>
    <t>T8_est111</t>
  </si>
  <si>
    <t>T8_est112</t>
  </si>
  <si>
    <t>T8_est113</t>
  </si>
  <si>
    <t>T8_est114</t>
  </si>
  <si>
    <t>T8_est115</t>
  </si>
  <si>
    <t>T8_est116</t>
  </si>
  <si>
    <t>T8_est117</t>
  </si>
  <si>
    <t>T8_est118</t>
  </si>
  <si>
    <t>T8_est119</t>
  </si>
  <si>
    <t>T8_est120</t>
  </si>
  <si>
    <t>T8_est121</t>
  </si>
  <si>
    <t>T8_est122</t>
  </si>
  <si>
    <t>T8_est123</t>
  </si>
  <si>
    <t>T8_est124</t>
  </si>
  <si>
    <t>T8_est125</t>
  </si>
  <si>
    <t>T8_est126</t>
  </si>
  <si>
    <t>T8_est127</t>
  </si>
  <si>
    <t>T8_est128</t>
  </si>
  <si>
    <t>T8_est129</t>
  </si>
  <si>
    <t>T8_est130</t>
  </si>
  <si>
    <t>T8_est131</t>
  </si>
  <si>
    <t>T8_est132</t>
  </si>
  <si>
    <t>T8_est133</t>
  </si>
  <si>
    <t>T9_est1</t>
  </si>
  <si>
    <t>T9_est2</t>
  </si>
  <si>
    <t>T9_est3</t>
  </si>
  <si>
    <t>T9_est4</t>
  </si>
  <si>
    <t>T9_est5</t>
  </si>
  <si>
    <t>T9_est6</t>
  </si>
  <si>
    <t>T9_est7</t>
  </si>
  <si>
    <t>T9_est8</t>
  </si>
  <si>
    <t>T9_est9</t>
  </si>
  <si>
    <t>T9_est10</t>
  </si>
  <si>
    <t>T9_est11</t>
  </si>
  <si>
    <t>T9_est12</t>
  </si>
  <si>
    <t>T9_est13</t>
  </si>
  <si>
    <t>T9_est14</t>
  </si>
  <si>
    <t>T9_est15</t>
  </si>
  <si>
    <t>T9_est16</t>
  </si>
  <si>
    <t>T9_est17</t>
  </si>
  <si>
    <t>T9_est18</t>
  </si>
  <si>
    <t>T9_est19</t>
  </si>
  <si>
    <t>T9_est20</t>
  </si>
  <si>
    <t>T9_est21</t>
  </si>
  <si>
    <t>T9_est22</t>
  </si>
  <si>
    <t>T9_est23</t>
  </si>
  <si>
    <t>T9_est24</t>
  </si>
  <si>
    <t>T9_est25</t>
  </si>
  <si>
    <t>T9_est26</t>
  </si>
  <si>
    <t>T9_est27</t>
  </si>
  <si>
    <t>T9_est28</t>
  </si>
  <si>
    <t>T9_est29</t>
  </si>
  <si>
    <t>T9_est30</t>
  </si>
  <si>
    <t>T9_est31</t>
  </si>
  <si>
    <t>T9_est32</t>
  </si>
  <si>
    <t>T9_est33</t>
  </si>
  <si>
    <t>T9_est34</t>
  </si>
  <si>
    <t>T9_est35</t>
  </si>
  <si>
    <t>T9_est36</t>
  </si>
  <si>
    <t>T9_est37</t>
  </si>
  <si>
    <t>T9_est38</t>
  </si>
  <si>
    <t>T9_est39</t>
  </si>
  <si>
    <t>T9_est40</t>
  </si>
  <si>
    <t>T9_est41</t>
  </si>
  <si>
    <t>T9_est42</t>
  </si>
  <si>
    <t>T9_est43</t>
  </si>
  <si>
    <t>T9_est44</t>
  </si>
  <si>
    <t>T9_est45</t>
  </si>
  <si>
    <t>T9_est46</t>
  </si>
  <si>
    <t>T9_est47</t>
  </si>
  <si>
    <t>T9_est48</t>
  </si>
  <si>
    <t>T9_est49</t>
  </si>
  <si>
    <t>T9_est50</t>
  </si>
  <si>
    <t>T9_est51</t>
  </si>
  <si>
    <t>T9_est52</t>
  </si>
  <si>
    <t>T9_est53</t>
  </si>
  <si>
    <t>T9_est54</t>
  </si>
  <si>
    <t>T9_est55</t>
  </si>
  <si>
    <t>T9_est56</t>
  </si>
  <si>
    <t>T9_est57</t>
  </si>
  <si>
    <t>T9_est58</t>
  </si>
  <si>
    <t>T9_est59</t>
  </si>
  <si>
    <t>T9_est60</t>
  </si>
  <si>
    <t>T9_est61</t>
  </si>
  <si>
    <t>T9_est62</t>
  </si>
  <si>
    <t>T9_est63</t>
  </si>
  <si>
    <t>T9_est64</t>
  </si>
  <si>
    <t>T9_est65</t>
  </si>
  <si>
    <t>T9_est66</t>
  </si>
  <si>
    <t>T9_est67</t>
  </si>
  <si>
    <t>T9_est68</t>
  </si>
  <si>
    <t>T9_est69</t>
  </si>
  <si>
    <t>T9_est70</t>
  </si>
  <si>
    <t>T9_est71</t>
  </si>
  <si>
    <t>T9_est72</t>
  </si>
  <si>
    <t>T9_est73</t>
  </si>
  <si>
    <t>T10_est1</t>
  </si>
  <si>
    <t>Persons per room: All</t>
  </si>
  <si>
    <t>Family type: All</t>
  </si>
  <si>
    <t>T10_est2</t>
  </si>
  <si>
    <t>T10_est3</t>
  </si>
  <si>
    <t>Persons per room: less than or equal to 1</t>
  </si>
  <si>
    <t>T10_est4</t>
  </si>
  <si>
    <t>T10_est5</t>
  </si>
  <si>
    <t>Family type: Household is one family with no subfamilies</t>
  </si>
  <si>
    <t>T10_est6</t>
  </si>
  <si>
    <t>Family type: Household is one family with at least one subfamily or more than one family</t>
  </si>
  <si>
    <t>T10_est7</t>
  </si>
  <si>
    <t>Family type: Household is non-family</t>
  </si>
  <si>
    <t>T10_est8</t>
  </si>
  <si>
    <t>T10_est9</t>
  </si>
  <si>
    <t>T10_est10</t>
  </si>
  <si>
    <t>T10_est11</t>
  </si>
  <si>
    <t>T10_est12</t>
  </si>
  <si>
    <t>T10_est13</t>
  </si>
  <si>
    <t>T10_est14</t>
  </si>
  <si>
    <t>T10_est15</t>
  </si>
  <si>
    <t>T10_est16</t>
  </si>
  <si>
    <t>T10_est17</t>
  </si>
  <si>
    <t>T10_est18</t>
  </si>
  <si>
    <t>T10_est19</t>
  </si>
  <si>
    <t>T10_est20</t>
  </si>
  <si>
    <t>T10_est21</t>
  </si>
  <si>
    <t>T10_est22</t>
  </si>
  <si>
    <t>T10_est23</t>
  </si>
  <si>
    <t>T10_est24</t>
  </si>
  <si>
    <t>Persons per room: greater than 1 but less than or equal to 1.5</t>
  </si>
  <si>
    <t>T10_est25</t>
  </si>
  <si>
    <t>T10_est26</t>
  </si>
  <si>
    <t>T10_est27</t>
  </si>
  <si>
    <t>T10_est28</t>
  </si>
  <si>
    <t>T10_est29</t>
  </si>
  <si>
    <t>T10_est30</t>
  </si>
  <si>
    <t>T10_est31</t>
  </si>
  <si>
    <t>T10_est32</t>
  </si>
  <si>
    <t>T10_est33</t>
  </si>
  <si>
    <t>T10_est34</t>
  </si>
  <si>
    <t>T10_est35</t>
  </si>
  <si>
    <t>T10_est36</t>
  </si>
  <si>
    <t>T10_est37</t>
  </si>
  <si>
    <t>T10_est38</t>
  </si>
  <si>
    <t>T10_est39</t>
  </si>
  <si>
    <t>T10_est40</t>
  </si>
  <si>
    <t>T10_est41</t>
  </si>
  <si>
    <t>T10_est42</t>
  </si>
  <si>
    <t>T10_est43</t>
  </si>
  <si>
    <t>T10_est44</t>
  </si>
  <si>
    <t>T10_est45</t>
  </si>
  <si>
    <t>Persons per room: greater than 1.5</t>
  </si>
  <si>
    <t>T10_est46</t>
  </si>
  <si>
    <t>T10_est47</t>
  </si>
  <si>
    <t>T10_est48</t>
  </si>
  <si>
    <t>T10_est49</t>
  </si>
  <si>
    <t>T10_est50</t>
  </si>
  <si>
    <t>T10_est51</t>
  </si>
  <si>
    <t>T10_est52</t>
  </si>
  <si>
    <t>T10_est53</t>
  </si>
  <si>
    <t>T10_est54</t>
  </si>
  <si>
    <t>T10_est55</t>
  </si>
  <si>
    <t>T10_est56</t>
  </si>
  <si>
    <t>T10_est57</t>
  </si>
  <si>
    <t>T10_est58</t>
  </si>
  <si>
    <t>T10_est59</t>
  </si>
  <si>
    <t>T10_est60</t>
  </si>
  <si>
    <t>T10_est61</t>
  </si>
  <si>
    <t>T10_est62</t>
  </si>
  <si>
    <t>T10_est63</t>
  </si>
  <si>
    <t>T10_est64</t>
  </si>
  <si>
    <t>T10_est65</t>
  </si>
  <si>
    <t>T10_est66</t>
  </si>
  <si>
    <t>T10_est67</t>
  </si>
  <si>
    <t>T10_est68</t>
  </si>
  <si>
    <t>T10_est69</t>
  </si>
  <si>
    <t>T10_est70</t>
  </si>
  <si>
    <t>T10_est71</t>
  </si>
  <si>
    <t>T10_est72</t>
  </si>
  <si>
    <t>T10_est73</t>
  </si>
  <si>
    <t>T10_est74</t>
  </si>
  <si>
    <t>T10_est75</t>
  </si>
  <si>
    <t>T10_est76</t>
  </si>
  <si>
    <t>T10_est77</t>
  </si>
  <si>
    <t>T10_est78</t>
  </si>
  <si>
    <t>T10_est79</t>
  </si>
  <si>
    <t>T10_est80</t>
  </si>
  <si>
    <t>T10_est81</t>
  </si>
  <si>
    <t>T10_est82</t>
  </si>
  <si>
    <t>T10_est83</t>
  </si>
  <si>
    <t>T10_est84</t>
  </si>
  <si>
    <t>T10_est85</t>
  </si>
  <si>
    <t>T10_est86</t>
  </si>
  <si>
    <t>T10_est87</t>
  </si>
  <si>
    <t>T10_est88</t>
  </si>
  <si>
    <t>T10_est89</t>
  </si>
  <si>
    <t>T10_est90</t>
  </si>
  <si>
    <t>T10_est91</t>
  </si>
  <si>
    <t>T10_est92</t>
  </si>
  <si>
    <t>T10_est93</t>
  </si>
  <si>
    <t>T10_est94</t>
  </si>
  <si>
    <t>T10_est95</t>
  </si>
  <si>
    <t>T10_est96</t>
  </si>
  <si>
    <t>T10_est97</t>
  </si>
  <si>
    <t>T10_est98</t>
  </si>
  <si>
    <t>T10_est99</t>
  </si>
  <si>
    <t>T10_est100</t>
  </si>
  <si>
    <t>T10_est101</t>
  </si>
  <si>
    <t>T10_est102</t>
  </si>
  <si>
    <t>T10_est103</t>
  </si>
  <si>
    <t>T10_est104</t>
  </si>
  <si>
    <t>T10_est105</t>
  </si>
  <si>
    <t>T10_est106</t>
  </si>
  <si>
    <t>T10_est107</t>
  </si>
  <si>
    <t>T10_est108</t>
  </si>
  <si>
    <t>T10_est109</t>
  </si>
  <si>
    <t>T10_est110</t>
  </si>
  <si>
    <t>T10_est111</t>
  </si>
  <si>
    <t>T10_est112</t>
  </si>
  <si>
    <t>T10_est113</t>
  </si>
  <si>
    <t>T10_est114</t>
  </si>
  <si>
    <t>T10_est115</t>
  </si>
  <si>
    <t>T10_est116</t>
  </si>
  <si>
    <t>T10_est117</t>
  </si>
  <si>
    <t>T10_est118</t>
  </si>
  <si>
    <t>T10_est119</t>
  </si>
  <si>
    <t>T10_est120</t>
  </si>
  <si>
    <t>T10_est121</t>
  </si>
  <si>
    <t>T10_est122</t>
  </si>
  <si>
    <t>T10_est123</t>
  </si>
  <si>
    <t>T10_est124</t>
  </si>
  <si>
    <t>T10_est125</t>
  </si>
  <si>
    <t>T10_est126</t>
  </si>
  <si>
    <t>T10_est127</t>
  </si>
  <si>
    <t>T10_est128</t>
  </si>
  <si>
    <t>T10_est129</t>
  </si>
  <si>
    <t>T11_est1</t>
  </si>
  <si>
    <t>T11_est2</t>
  </si>
  <si>
    <t>T11_est3</t>
  </si>
  <si>
    <t>1 of 4 housing problems: 1 or more of the 4 housing problems</t>
  </si>
  <si>
    <t>T11_est4</t>
  </si>
  <si>
    <t>Household income: less than or equal to 20% of HAMFI</t>
  </si>
  <si>
    <t>T11_est5</t>
  </si>
  <si>
    <t>Household income: greater than 20% but less than or equal to 30% of HAMFI</t>
  </si>
  <si>
    <t>T11_est6</t>
  </si>
  <si>
    <t>Household income: greater than 30% but less than or equal to 40% of HAMFI</t>
  </si>
  <si>
    <t>T11_est7</t>
  </si>
  <si>
    <t>Household income: greater than 40% but less than or equal to 50% of HAMFI</t>
  </si>
  <si>
    <t>T11_est8</t>
  </si>
  <si>
    <t>Household income: greater than 50% but less than or equal to 60% of HAMFI</t>
  </si>
  <si>
    <t>T11_est9</t>
  </si>
  <si>
    <t>Household income: greater than 60% but less than or equal to 65% of HAMFI</t>
  </si>
  <si>
    <t>T11_est10</t>
  </si>
  <si>
    <t>Household income: greater than 65% but less than or equal to 80% of HAMFI</t>
  </si>
  <si>
    <t>T11_est11</t>
  </si>
  <si>
    <t>Household income: greater than 80% but less than or equal to 95% of HAMFI</t>
  </si>
  <si>
    <t>T11_est12</t>
  </si>
  <si>
    <t>Household income: greater than 95% but less than or equal to 100% of HAMFI</t>
  </si>
  <si>
    <t>T11_est13</t>
  </si>
  <si>
    <t>Household income: greater than 100% but less than or equal to 115% of HAMFI</t>
  </si>
  <si>
    <t>T11_est14</t>
  </si>
  <si>
    <t>Household income: greater than 115% but less than or equal to 120% of HAMFI</t>
  </si>
  <si>
    <t>T11_est15</t>
  </si>
  <si>
    <t>Household income: greater than 120% but less than or equal to 140% of HAMFI</t>
  </si>
  <si>
    <t>T11_est16</t>
  </si>
  <si>
    <t>Household income: greater than 140% of HAMFI</t>
  </si>
  <si>
    <t>T11_est17</t>
  </si>
  <si>
    <t>1 of 4 housing problems: none of the 4 housing problems</t>
  </si>
  <si>
    <t>T11_est18</t>
  </si>
  <si>
    <t>T11_est19</t>
  </si>
  <si>
    <t>T11_est20</t>
  </si>
  <si>
    <t>T11_est21</t>
  </si>
  <si>
    <t>T11_est22</t>
  </si>
  <si>
    <t>T11_est23</t>
  </si>
  <si>
    <t>T11_est24</t>
  </si>
  <si>
    <t>T11_est25</t>
  </si>
  <si>
    <t>T11_est26</t>
  </si>
  <si>
    <t>T11_est27</t>
  </si>
  <si>
    <t>T11_est28</t>
  </si>
  <si>
    <t>T11_est29</t>
  </si>
  <si>
    <t>T11_est30</t>
  </si>
  <si>
    <t>T11_est31</t>
  </si>
  <si>
    <t>1 of 4 housing problems: Cost burden cannot be computed, none of the 3 other housing problems</t>
  </si>
  <si>
    <t>T11_est32</t>
  </si>
  <si>
    <t>T11_est33</t>
  </si>
  <si>
    <t>T11_est34</t>
  </si>
  <si>
    <t>T11_est35</t>
  </si>
  <si>
    <t>T11_est36</t>
  </si>
  <si>
    <t>T11_est37</t>
  </si>
  <si>
    <t>T11_est38</t>
  </si>
  <si>
    <t>T11_est39</t>
  </si>
  <si>
    <t>T11_est40</t>
  </si>
  <si>
    <t>T11_est41</t>
  </si>
  <si>
    <t>T11_est42</t>
  </si>
  <si>
    <t>T11_est43</t>
  </si>
  <si>
    <t>T11_est44</t>
  </si>
  <si>
    <t>T11_est45</t>
  </si>
  <si>
    <t>T11_est46</t>
  </si>
  <si>
    <t>T11_est47</t>
  </si>
  <si>
    <t>T11_est48</t>
  </si>
  <si>
    <t>T11_est49</t>
  </si>
  <si>
    <t>T11_est50</t>
  </si>
  <si>
    <t>T11_est51</t>
  </si>
  <si>
    <t>T11_est52</t>
  </si>
  <si>
    <t>T11_est53</t>
  </si>
  <si>
    <t>T11_est54</t>
  </si>
  <si>
    <t>T11_est55</t>
  </si>
  <si>
    <t>T11_est56</t>
  </si>
  <si>
    <t>T11_est57</t>
  </si>
  <si>
    <t>T11_est58</t>
  </si>
  <si>
    <t>T11_est59</t>
  </si>
  <si>
    <t>T11_est60</t>
  </si>
  <si>
    <t>T11_est61</t>
  </si>
  <si>
    <t>T11_est62</t>
  </si>
  <si>
    <t>T11_est63</t>
  </si>
  <si>
    <t>T11_est64</t>
  </si>
  <si>
    <t>T11_est65</t>
  </si>
  <si>
    <t>T11_est66</t>
  </si>
  <si>
    <t>T11_est67</t>
  </si>
  <si>
    <t>T11_est68</t>
  </si>
  <si>
    <t>T11_est69</t>
  </si>
  <si>
    <t>T11_est70</t>
  </si>
  <si>
    <t>T11_est71</t>
  </si>
  <si>
    <t>T11_est72</t>
  </si>
  <si>
    <t>T11_est73</t>
  </si>
  <si>
    <t>T11_est74</t>
  </si>
  <si>
    <t>T11_est75</t>
  </si>
  <si>
    <t>T11_est76</t>
  </si>
  <si>
    <t>T11_est77</t>
  </si>
  <si>
    <t>T11_est78</t>
  </si>
  <si>
    <t>T11_est79</t>
  </si>
  <si>
    <t>T11_est80</t>
  </si>
  <si>
    <t>T11_est81</t>
  </si>
  <si>
    <t>T11_est82</t>
  </si>
  <si>
    <t>T11_est83</t>
  </si>
  <si>
    <t>T11_est84</t>
  </si>
  <si>
    <t>T11_est85</t>
  </si>
  <si>
    <t>T11_est86</t>
  </si>
  <si>
    <t>T11_est87</t>
  </si>
  <si>
    <t>T12_est1</t>
  </si>
  <si>
    <t>Year structure was built: All</t>
  </si>
  <si>
    <t>T12_est2</t>
  </si>
  <si>
    <t>T12_est3</t>
  </si>
  <si>
    <t>Year structure was built: 2000 or later</t>
  </si>
  <si>
    <t>T12_est4</t>
  </si>
  <si>
    <t>Household income: less than or equal to 50% of HAMFI</t>
  </si>
  <si>
    <t>T12_est5</t>
  </si>
  <si>
    <t>T12_est6</t>
  </si>
  <si>
    <t>T12_est7</t>
  </si>
  <si>
    <t>T12_est8</t>
  </si>
  <si>
    <t>T12_est9</t>
  </si>
  <si>
    <t>Household income: greater than 50% but less than 80% of HAMFI</t>
  </si>
  <si>
    <t>T12_est10</t>
  </si>
  <si>
    <t>T12_est11</t>
  </si>
  <si>
    <t>T12_est12</t>
  </si>
  <si>
    <t>T12_est13</t>
  </si>
  <si>
    <t>T12_est14</t>
  </si>
  <si>
    <t>Household income: greater than 80% but less than 120% of HAMFI</t>
  </si>
  <si>
    <t>T12_est15</t>
  </si>
  <si>
    <t>T12_est16</t>
  </si>
  <si>
    <t>T12_est17</t>
  </si>
  <si>
    <t>T12_est18</t>
  </si>
  <si>
    <t>T12_est19</t>
  </si>
  <si>
    <t>Household income: greater than 120% of HAMFI</t>
  </si>
  <si>
    <t>T12_est20</t>
  </si>
  <si>
    <t>T12_est21</t>
  </si>
  <si>
    <t>T12_est22</t>
  </si>
  <si>
    <t>T12_est23</t>
  </si>
  <si>
    <t>T12_est24</t>
  </si>
  <si>
    <t>Year structure was built: between 1980 and 1999</t>
  </si>
  <si>
    <t>T12_est25</t>
  </si>
  <si>
    <t>T12_est26</t>
  </si>
  <si>
    <t>T12_est27</t>
  </si>
  <si>
    <t>T12_est28</t>
  </si>
  <si>
    <t>T12_est29</t>
  </si>
  <si>
    <t>T12_est30</t>
  </si>
  <si>
    <t>T12_est31</t>
  </si>
  <si>
    <t>T12_est32</t>
  </si>
  <si>
    <t>T12_est33</t>
  </si>
  <si>
    <t>T12_est34</t>
  </si>
  <si>
    <t>T12_est35</t>
  </si>
  <si>
    <t>T12_est36</t>
  </si>
  <si>
    <t>T12_est37</t>
  </si>
  <si>
    <t>T12_est38</t>
  </si>
  <si>
    <t>T12_est39</t>
  </si>
  <si>
    <t>T12_est40</t>
  </si>
  <si>
    <t>T12_est41</t>
  </si>
  <si>
    <t>T12_est42</t>
  </si>
  <si>
    <t>T12_est43</t>
  </si>
  <si>
    <t>T12_est44</t>
  </si>
  <si>
    <t>T12_est45</t>
  </si>
  <si>
    <t>Year structure was built: between 1960 and 1979</t>
  </si>
  <si>
    <t>T12_est46</t>
  </si>
  <si>
    <t>T12_est47</t>
  </si>
  <si>
    <t>T12_est48</t>
  </si>
  <si>
    <t>T12_est49</t>
  </si>
  <si>
    <t>T12_est50</t>
  </si>
  <si>
    <t>T12_est51</t>
  </si>
  <si>
    <t>T12_est52</t>
  </si>
  <si>
    <t>T12_est53</t>
  </si>
  <si>
    <t>T12_est54</t>
  </si>
  <si>
    <t>T12_est55</t>
  </si>
  <si>
    <t>T12_est56</t>
  </si>
  <si>
    <t>T12_est57</t>
  </si>
  <si>
    <t>T12_est58</t>
  </si>
  <si>
    <t>T12_est59</t>
  </si>
  <si>
    <t>T12_est60</t>
  </si>
  <si>
    <t>T12_est61</t>
  </si>
  <si>
    <t>T12_est62</t>
  </si>
  <si>
    <t>T12_est63</t>
  </si>
  <si>
    <t>T12_est64</t>
  </si>
  <si>
    <t>T12_est65</t>
  </si>
  <si>
    <t>T12_est66</t>
  </si>
  <si>
    <t>Year structure was built: between 1940 and 1959</t>
  </si>
  <si>
    <t>T12_est67</t>
  </si>
  <si>
    <t>T12_est68</t>
  </si>
  <si>
    <t>T12_est69</t>
  </si>
  <si>
    <t>T12_est70</t>
  </si>
  <si>
    <t>T12_est71</t>
  </si>
  <si>
    <t>T12_est72</t>
  </si>
  <si>
    <t>T12_est73</t>
  </si>
  <si>
    <t>T12_est74</t>
  </si>
  <si>
    <t>T12_est75</t>
  </si>
  <si>
    <t>T12_est76</t>
  </si>
  <si>
    <t>T12_est77</t>
  </si>
  <si>
    <t>T12_est78</t>
  </si>
  <si>
    <t>T12_est79</t>
  </si>
  <si>
    <t>T12_est80</t>
  </si>
  <si>
    <t>T12_est81</t>
  </si>
  <si>
    <t>T12_est82</t>
  </si>
  <si>
    <t>T12_est83</t>
  </si>
  <si>
    <t>T12_est84</t>
  </si>
  <si>
    <t>T12_est85</t>
  </si>
  <si>
    <t>T12_est86</t>
  </si>
  <si>
    <t>T12_est87</t>
  </si>
  <si>
    <t>Year structure was built: 1939 or earlier</t>
  </si>
  <si>
    <t>T12_est88</t>
  </si>
  <si>
    <t>T12_est89</t>
  </si>
  <si>
    <t>T12_est90</t>
  </si>
  <si>
    <t>T12_est91</t>
  </si>
  <si>
    <t>T12_est92</t>
  </si>
  <si>
    <t>T12_est93</t>
  </si>
  <si>
    <t>T12_est94</t>
  </si>
  <si>
    <t>T12_est95</t>
  </si>
  <si>
    <t>T12_est96</t>
  </si>
  <si>
    <t>T12_est97</t>
  </si>
  <si>
    <t>T12_est98</t>
  </si>
  <si>
    <t>T12_est99</t>
  </si>
  <si>
    <t>T12_est100</t>
  </si>
  <si>
    <t>T12_est101</t>
  </si>
  <si>
    <t>T12_est102</t>
  </si>
  <si>
    <t>T12_est103</t>
  </si>
  <si>
    <t>T12_est104</t>
  </si>
  <si>
    <t>T12_est105</t>
  </si>
  <si>
    <t>T12_est106</t>
  </si>
  <si>
    <t>T12_est107</t>
  </si>
  <si>
    <t>T12_est108</t>
  </si>
  <si>
    <t>T12_est109</t>
  </si>
  <si>
    <t>T12_est110</t>
  </si>
  <si>
    <t>T12_est111</t>
  </si>
  <si>
    <t>T12_est112</t>
  </si>
  <si>
    <t>T12_est113</t>
  </si>
  <si>
    <t>T12_est114</t>
  </si>
  <si>
    <t>T12_est115</t>
  </si>
  <si>
    <t>T12_est116</t>
  </si>
  <si>
    <t>T12_est117</t>
  </si>
  <si>
    <t>T12_est118</t>
  </si>
  <si>
    <t>T12_est119</t>
  </si>
  <si>
    <t>T12_est120</t>
  </si>
  <si>
    <t>T12_est121</t>
  </si>
  <si>
    <t>T12_est122</t>
  </si>
  <si>
    <t>T12_est123</t>
  </si>
  <si>
    <t>T12_est124</t>
  </si>
  <si>
    <t>T12_est125</t>
  </si>
  <si>
    <t>T12_est126</t>
  </si>
  <si>
    <t>T12_est127</t>
  </si>
  <si>
    <t>T12_est128</t>
  </si>
  <si>
    <t>T12_est129</t>
  </si>
  <si>
    <t>T12_est130</t>
  </si>
  <si>
    <t>T12_est131</t>
  </si>
  <si>
    <t>T12_est132</t>
  </si>
  <si>
    <t>T12_est133</t>
  </si>
  <si>
    <t>T12_est134</t>
  </si>
  <si>
    <t>T12_est135</t>
  </si>
  <si>
    <t>T12_est136</t>
  </si>
  <si>
    <t>T12_est137</t>
  </si>
  <si>
    <t>T12_est138</t>
  </si>
  <si>
    <t>T12_est139</t>
  </si>
  <si>
    <t>T12_est140</t>
  </si>
  <si>
    <t>T12_est141</t>
  </si>
  <si>
    <t>T12_est142</t>
  </si>
  <si>
    <t>T12_est143</t>
  </si>
  <si>
    <t>T12_est144</t>
  </si>
  <si>
    <t>T12_est145</t>
  </si>
  <si>
    <t>T12_est146</t>
  </si>
  <si>
    <t>T12_est147</t>
  </si>
  <si>
    <t>T12_est148</t>
  </si>
  <si>
    <t>T12_est149</t>
  </si>
  <si>
    <t>T12_est150</t>
  </si>
  <si>
    <t>T12_est151</t>
  </si>
  <si>
    <t>T12_est152</t>
  </si>
  <si>
    <t>T12_est153</t>
  </si>
  <si>
    <t>T12_est154</t>
  </si>
  <si>
    <t>T12_est155</t>
  </si>
  <si>
    <t>T12_est156</t>
  </si>
  <si>
    <t>T12_est157</t>
  </si>
  <si>
    <t>T12_est158</t>
  </si>
  <si>
    <t>T12_est159</t>
  </si>
  <si>
    <t>T12_est160</t>
  </si>
  <si>
    <t>T12_est161</t>
  </si>
  <si>
    <t>T12_est162</t>
  </si>
  <si>
    <t>T12_est163</t>
  </si>
  <si>
    <t>T12_est164</t>
  </si>
  <si>
    <t>T12_est165</t>
  </si>
  <si>
    <t>T12_est166</t>
  </si>
  <si>
    <t>T12_est167</t>
  </si>
  <si>
    <t>T12_est168</t>
  </si>
  <si>
    <t>T12_est169</t>
  </si>
  <si>
    <t>T12_est170</t>
  </si>
  <si>
    <t>T12_est171</t>
  </si>
  <si>
    <t>T12_est172</t>
  </si>
  <si>
    <t>T12_est173</t>
  </si>
  <si>
    <t>T12_est174</t>
  </si>
  <si>
    <t>T12_est175</t>
  </si>
  <si>
    <t>T12_est176</t>
  </si>
  <si>
    <t>T12_est177</t>
  </si>
  <si>
    <t>T12_est178</t>
  </si>
  <si>
    <t>T12_est179</t>
  </si>
  <si>
    <t>T12_est180</t>
  </si>
  <si>
    <t>T12_est181</t>
  </si>
  <si>
    <t>T12_est182</t>
  </si>
  <si>
    <t>T12_est183</t>
  </si>
  <si>
    <t>T12_est184</t>
  </si>
  <si>
    <t>T12_est185</t>
  </si>
  <si>
    <t>T12_est186</t>
  </si>
  <si>
    <t>T12_est187</t>
  </si>
  <si>
    <t>T12_est188</t>
  </si>
  <si>
    <t>T12_est189</t>
  </si>
  <si>
    <t>T12_est190</t>
  </si>
  <si>
    <t>T12_est191</t>
  </si>
  <si>
    <t>T12_est192</t>
  </si>
  <si>
    <t>T12_est193</t>
  </si>
  <si>
    <t>T12_est194</t>
  </si>
  <si>
    <t>T12_est195</t>
  </si>
  <si>
    <t>T12_est196</t>
  </si>
  <si>
    <t>T12_est197</t>
  </si>
  <si>
    <t>T12_est198</t>
  </si>
  <si>
    <t>T12_est199</t>
  </si>
  <si>
    <t>T12_est200</t>
  </si>
  <si>
    <t>T12_est201</t>
  </si>
  <si>
    <t>T12_est202</t>
  </si>
  <si>
    <t>T12_est203</t>
  </si>
  <si>
    <t>T12_est204</t>
  </si>
  <si>
    <t>T12_est205</t>
  </si>
  <si>
    <t>T12_est206</t>
  </si>
  <si>
    <t>T12_est207</t>
  </si>
  <si>
    <t>T12_est208</t>
  </si>
  <si>
    <t>T12_est209</t>
  </si>
  <si>
    <t>T12_est210</t>
  </si>
  <si>
    <t>T12_est211</t>
  </si>
  <si>
    <t>T12_est212</t>
  </si>
  <si>
    <t>T12_est213</t>
  </si>
  <si>
    <t>T13_est1</t>
  </si>
  <si>
    <t>Year structure was built:</t>
  </si>
  <si>
    <t>Household income:</t>
  </si>
  <si>
    <t>Children:</t>
  </si>
  <si>
    <t>T13_est2</t>
  </si>
  <si>
    <t>T13_est3</t>
  </si>
  <si>
    <t>Year structure was built: AND Structure built in 1980 or later</t>
  </si>
  <si>
    <t>T13_est4</t>
  </si>
  <si>
    <t>Household income: AND household income is less than or equal to 30% of HAMFI</t>
  </si>
  <si>
    <t>T13_est5</t>
  </si>
  <si>
    <t>Children: AND household contains 1 or more children age 6 or younger</t>
  </si>
  <si>
    <t>T13_est6</t>
  </si>
  <si>
    <t>Children: AND household contains no children age 6 or younger</t>
  </si>
  <si>
    <t>T13_est7</t>
  </si>
  <si>
    <t>Household income: AND household income is greater than 30% but less than or equal to 50% of HAMFI</t>
  </si>
  <si>
    <t>T13_est8</t>
  </si>
  <si>
    <t>T13_est9</t>
  </si>
  <si>
    <t>T13_est10</t>
  </si>
  <si>
    <t>Household income: AND household income is greater than 50% but less than or equal to 80% of HAMFI</t>
  </si>
  <si>
    <t>T13_est11</t>
  </si>
  <si>
    <t>T13_est12</t>
  </si>
  <si>
    <t>T13_est13</t>
  </si>
  <si>
    <t>Household income: AND household income is greater than 80% but less than or equal to 100% of HAMFI</t>
  </si>
  <si>
    <t>T13_est14</t>
  </si>
  <si>
    <t>T13_est15</t>
  </si>
  <si>
    <t>T13_est16</t>
  </si>
  <si>
    <t>Household income: AND household income is greater than 100% of HAMFI</t>
  </si>
  <si>
    <t>T13_est17</t>
  </si>
  <si>
    <t>T13_est18</t>
  </si>
  <si>
    <t>T13_est19</t>
  </si>
  <si>
    <t>Year structure was built: AND Structure built between 1940 and 1979</t>
  </si>
  <si>
    <t>T13_est20</t>
  </si>
  <si>
    <t>T13_est21</t>
  </si>
  <si>
    <t>T13_est22</t>
  </si>
  <si>
    <t>T13_est23</t>
  </si>
  <si>
    <t>T13_est24</t>
  </si>
  <si>
    <t>T13_est25</t>
  </si>
  <si>
    <t>T13_est26</t>
  </si>
  <si>
    <t>T13_est27</t>
  </si>
  <si>
    <t>T13_est28</t>
  </si>
  <si>
    <t>T13_est29</t>
  </si>
  <si>
    <t>T13_est30</t>
  </si>
  <si>
    <t>T13_est31</t>
  </si>
  <si>
    <t>T13_est32</t>
  </si>
  <si>
    <t>T13_est33</t>
  </si>
  <si>
    <t>T13_est34</t>
  </si>
  <si>
    <t>T13_est35</t>
  </si>
  <si>
    <t>Year structure was built: AND Structure built in 1939 or earlier</t>
  </si>
  <si>
    <t>T13_est36</t>
  </si>
  <si>
    <t>T13_est37</t>
  </si>
  <si>
    <t>T13_est38</t>
  </si>
  <si>
    <t>T13_est39</t>
  </si>
  <si>
    <t>T13_est40</t>
  </si>
  <si>
    <t>T13_est41</t>
  </si>
  <si>
    <t>T13_est42</t>
  </si>
  <si>
    <t>T13_est43</t>
  </si>
  <si>
    <t>T13_est44</t>
  </si>
  <si>
    <t>T13_est45</t>
  </si>
  <si>
    <t>T13_est46</t>
  </si>
  <si>
    <t>T13_est47</t>
  </si>
  <si>
    <t>T13_est48</t>
  </si>
  <si>
    <t>T13_est49</t>
  </si>
  <si>
    <t>T13_est50</t>
  </si>
  <si>
    <t>T13_est51</t>
  </si>
  <si>
    <t>T13_est52</t>
  </si>
  <si>
    <t>T13_est53</t>
  </si>
  <si>
    <t>T13_est54</t>
  </si>
  <si>
    <t>T13_est55</t>
  </si>
  <si>
    <t>T13_est56</t>
  </si>
  <si>
    <t>T13_est57</t>
  </si>
  <si>
    <t>T13_est58</t>
  </si>
  <si>
    <t>T13_est59</t>
  </si>
  <si>
    <t>T13_est60</t>
  </si>
  <si>
    <t>T13_est61</t>
  </si>
  <si>
    <t>T13_est62</t>
  </si>
  <si>
    <t>T13_est63</t>
  </si>
  <si>
    <t>T13_est64</t>
  </si>
  <si>
    <t>T13_est65</t>
  </si>
  <si>
    <t>T13_est66</t>
  </si>
  <si>
    <t>T13_est67</t>
  </si>
  <si>
    <t>T13_est68</t>
  </si>
  <si>
    <t>T13_est69</t>
  </si>
  <si>
    <t>T13_est70</t>
  </si>
  <si>
    <t>T13_est71</t>
  </si>
  <si>
    <t>T13_est72</t>
  </si>
  <si>
    <t>T13_est73</t>
  </si>
  <si>
    <t>T13_est74</t>
  </si>
  <si>
    <t>T13_est75</t>
  </si>
  <si>
    <t>T13_est76</t>
  </si>
  <si>
    <t>T13_est77</t>
  </si>
  <si>
    <t>T13_est78</t>
  </si>
  <si>
    <t>T13_est79</t>
  </si>
  <si>
    <t>T13_est80</t>
  </si>
  <si>
    <t>T13_est81</t>
  </si>
  <si>
    <t>T13_est82</t>
  </si>
  <si>
    <t>T13_est83</t>
  </si>
  <si>
    <t>T13_est84</t>
  </si>
  <si>
    <t>T13_est85</t>
  </si>
  <si>
    <t>T13_est86</t>
  </si>
  <si>
    <t>T13_est87</t>
  </si>
  <si>
    <t>T13_est88</t>
  </si>
  <si>
    <t>T13_est89</t>
  </si>
  <si>
    <t>T13_est90</t>
  </si>
  <si>
    <t>T13_est91</t>
  </si>
  <si>
    <t>T13_est92</t>
  </si>
  <si>
    <t>T13_est93</t>
  </si>
  <si>
    <t>T13_est94</t>
  </si>
  <si>
    <t>T13_est95</t>
  </si>
  <si>
    <t>T13_est96</t>
  </si>
  <si>
    <t>T13_est97</t>
  </si>
  <si>
    <t>T13_est98</t>
  </si>
  <si>
    <t>T13_est99</t>
  </si>
  <si>
    <t>T14A_est1</t>
  </si>
  <si>
    <t>Tenure: Total: Vacant-for-sale housing units</t>
  </si>
  <si>
    <t>Home price: All</t>
  </si>
  <si>
    <t>Number of bedrooms: All</t>
  </si>
  <si>
    <t>T14B_est1</t>
  </si>
  <si>
    <t>Tenure: Total: Vacant-for-rent housing units</t>
  </si>
  <si>
    <t>Rent: All</t>
  </si>
  <si>
    <t>T14A_est2</t>
  </si>
  <si>
    <t>Tenure: Vacant-for-sale</t>
  </si>
  <si>
    <t>Facilities: housing unit lacks complete kitchen or plumbing facilities</t>
  </si>
  <si>
    <t>T14B_est2</t>
  </si>
  <si>
    <t>Tenure: Vacant-for-rent</t>
  </si>
  <si>
    <t>T14A_est3</t>
  </si>
  <si>
    <t>Facilities: housing unit has complete kitchen and plumbing facilities</t>
  </si>
  <si>
    <t>T14B_est3</t>
  </si>
  <si>
    <t>T14B_est4</t>
  </si>
  <si>
    <t>Rent: less than or equal to RHUD30</t>
  </si>
  <si>
    <t>T14A_est4</t>
  </si>
  <si>
    <t>Home price: less than or equal to VHUD50</t>
  </si>
  <si>
    <t>T14A_est5</t>
  </si>
  <si>
    <t>Number of bedrooms: 0 or 1</t>
  </si>
  <si>
    <t>T14B_est5</t>
  </si>
  <si>
    <t>T14B_est6</t>
  </si>
  <si>
    <t>Number of bedrooms: 2</t>
  </si>
  <si>
    <t>T14A_est6</t>
  </si>
  <si>
    <t>T14A_est7</t>
  </si>
  <si>
    <t>Number of bedrooms: 3 or more</t>
  </si>
  <si>
    <t>T14B_est7</t>
  </si>
  <si>
    <t>T14B_est8</t>
  </si>
  <si>
    <t>Rent: greater than RHUD30 but less than or equal to RHUD50</t>
  </si>
  <si>
    <t>T14A_est8</t>
  </si>
  <si>
    <t>Home price: greater than VHUD50 but less than or equal to VHUD80</t>
  </si>
  <si>
    <t>T14B_est9</t>
  </si>
  <si>
    <t>T14A_est9</t>
  </si>
  <si>
    <t>T14A_est10</t>
  </si>
  <si>
    <t>T14B_est10</t>
  </si>
  <si>
    <t>T14A_est11</t>
  </si>
  <si>
    <t>T14B_est11</t>
  </si>
  <si>
    <t>T14B_est12</t>
  </si>
  <si>
    <t>Rent: greater than RHUD50 but less than or equal to RHUD80</t>
  </si>
  <si>
    <t>T14A_est12</t>
  </si>
  <si>
    <t>Home price: greater than VHUD80 but less than or equal to VHUD100</t>
  </si>
  <si>
    <t>T14A_est13</t>
  </si>
  <si>
    <t>T14B_est13</t>
  </si>
  <si>
    <t>T14B_est14</t>
  </si>
  <si>
    <t>T14A_est14</t>
  </si>
  <si>
    <t>T14A_est15</t>
  </si>
  <si>
    <t>T14B_est15</t>
  </si>
  <si>
    <t>T14A_est16</t>
  </si>
  <si>
    <t>Home price: greater than VHUD100</t>
  </si>
  <si>
    <t>T14B_est16</t>
  </si>
  <si>
    <t>Rent: greater than RHUD80</t>
  </si>
  <si>
    <t>T14A_est17</t>
  </si>
  <si>
    <t>T14B_est17</t>
  </si>
  <si>
    <t>T14A_est18</t>
  </si>
  <si>
    <t>T14B_est18</t>
  </si>
  <si>
    <t>T14A_est19</t>
  </si>
  <si>
    <t>T14B_est19</t>
  </si>
  <si>
    <t>T15C_est1</t>
  </si>
  <si>
    <t>Tenure: Total: Renter occupied housing units</t>
  </si>
  <si>
    <t>T15A_est1</t>
  </si>
  <si>
    <t>Tenure: Total: Owner occupied housing units with a mortgage</t>
  </si>
  <si>
    <t>Home value: All</t>
  </si>
  <si>
    <t>T15B_est1</t>
  </si>
  <si>
    <t>Tenure: Total: Owner occupied housing units with no mortgage</t>
  </si>
  <si>
    <t>T15C_est2</t>
  </si>
  <si>
    <t>Facilities: lacks complete kitchen or plumbing facilities</t>
  </si>
  <si>
    <t>T15A_est2</t>
  </si>
  <si>
    <t>Tenure: Owner occupied with mortgage</t>
  </si>
  <si>
    <t>T15B_est2</t>
  </si>
  <si>
    <t>Tenure: Owner occupied with no mortgage</t>
  </si>
  <si>
    <t>T15A_est3</t>
  </si>
  <si>
    <t>Facilities: has complete kitchen and plumbing facilities</t>
  </si>
  <si>
    <t>T15B_est3</t>
  </si>
  <si>
    <t>T15C_est3</t>
  </si>
  <si>
    <t>T15C_est4</t>
  </si>
  <si>
    <t>T15A_est4</t>
  </si>
  <si>
    <t>Home value: less than or equal to VHUD50</t>
  </si>
  <si>
    <t>T15B_est4</t>
  </si>
  <si>
    <t>T15C_est5</t>
  </si>
  <si>
    <t>T15A_est5</t>
  </si>
  <si>
    <t>T15B_est5</t>
  </si>
  <si>
    <t>T15A_est6</t>
  </si>
  <si>
    <t>T15B_est6</t>
  </si>
  <si>
    <t>T15C_est6</t>
  </si>
  <si>
    <t>T15A_est7</t>
  </si>
  <si>
    <t>T15C_est7</t>
  </si>
  <si>
    <t>T15B_est7</t>
  </si>
  <si>
    <t>T15A_est8</t>
  </si>
  <si>
    <t>T15B_est8</t>
  </si>
  <si>
    <t>T15C_est8</t>
  </si>
  <si>
    <t>T15C_est9</t>
  </si>
  <si>
    <t>T15B_est9</t>
  </si>
  <si>
    <t>T15A_est9</t>
  </si>
  <si>
    <t>T15A_est10</t>
  </si>
  <si>
    <t>T15B_est10</t>
  </si>
  <si>
    <t>T15C_est10</t>
  </si>
  <si>
    <t>T15C_est11</t>
  </si>
  <si>
    <t>T15B_est11</t>
  </si>
  <si>
    <t>T15A_est11</t>
  </si>
  <si>
    <t>T15B_est12</t>
  </si>
  <si>
    <t>T15C_est12</t>
  </si>
  <si>
    <t>T15A_est12</t>
  </si>
  <si>
    <t>T15B_est13</t>
  </si>
  <si>
    <t>T15C_est13</t>
  </si>
  <si>
    <t>T15A_est13</t>
  </si>
  <si>
    <t>T15A_est14</t>
  </si>
  <si>
    <t>T15C_est14</t>
  </si>
  <si>
    <t>T15B_est14</t>
  </si>
  <si>
    <t>T15C_est15</t>
  </si>
  <si>
    <t>T15A_est15</t>
  </si>
  <si>
    <t>T15B_est15</t>
  </si>
  <si>
    <t>T15C_est16</t>
  </si>
  <si>
    <t>T15A_est16</t>
  </si>
  <si>
    <t>T15B_est16</t>
  </si>
  <si>
    <t>T15C_est17</t>
  </si>
  <si>
    <t>T15B_est17</t>
  </si>
  <si>
    <t>T15A_est17</t>
  </si>
  <si>
    <t>T15C_est18</t>
  </si>
  <si>
    <t>T15B_est18</t>
  </si>
  <si>
    <t>T15A_est18</t>
  </si>
  <si>
    <t>T15B_est19</t>
  </si>
  <si>
    <t>T15C_est19</t>
  </si>
  <si>
    <t>T15A_est19</t>
  </si>
  <si>
    <t>T15A_est20</t>
  </si>
  <si>
    <t>T15B_est20</t>
  </si>
  <si>
    <t>T15C_est20</t>
  </si>
  <si>
    <t>T15C_est21</t>
  </si>
  <si>
    <t>T15B_est21</t>
  </si>
  <si>
    <t>T15A_est21</t>
  </si>
  <si>
    <t>T15C_est22</t>
  </si>
  <si>
    <t>T15A_est22</t>
  </si>
  <si>
    <t>T15B_est22</t>
  </si>
  <si>
    <t>T15A_est23</t>
  </si>
  <si>
    <t>T15B_est23</t>
  </si>
  <si>
    <t>T15C_est23</t>
  </si>
  <si>
    <t>T15C_est24</t>
  </si>
  <si>
    <t>T15A_est24</t>
  </si>
  <si>
    <t>T15B_est24</t>
  </si>
  <si>
    <t>T15C_est25</t>
  </si>
  <si>
    <t>T15A_est25</t>
  </si>
  <si>
    <t>Home value: greater than VHUD50 but less than or equal to VHUD80</t>
  </si>
  <si>
    <t>T15B_est25</t>
  </si>
  <si>
    <t>T15A_est26</t>
  </si>
  <si>
    <t>T15C_est26</t>
  </si>
  <si>
    <t>T15B_est26</t>
  </si>
  <si>
    <t>T15B_est27</t>
  </si>
  <si>
    <t>T15C_est27</t>
  </si>
  <si>
    <t>T15A_est27</t>
  </si>
  <si>
    <t>T15B_est28</t>
  </si>
  <si>
    <t>T15A_est28</t>
  </si>
  <si>
    <t>T15C_est28</t>
  </si>
  <si>
    <t>T15B_est29</t>
  </si>
  <si>
    <t>T15A_est29</t>
  </si>
  <si>
    <t>T15C_est29</t>
  </si>
  <si>
    <t>T15A_est30</t>
  </si>
  <si>
    <t>T15B_est30</t>
  </si>
  <si>
    <t>T15C_est30</t>
  </si>
  <si>
    <t>T15B_est31</t>
  </si>
  <si>
    <t>T15C_est31</t>
  </si>
  <si>
    <t>T15A_est31</t>
  </si>
  <si>
    <t>T15A_est32</t>
  </si>
  <si>
    <t>T15B_est32</t>
  </si>
  <si>
    <t>T15C_est32</t>
  </si>
  <si>
    <t>T15C_est33</t>
  </si>
  <si>
    <t>T15A_est33</t>
  </si>
  <si>
    <t>T15B_est33</t>
  </si>
  <si>
    <t>T15B_est34</t>
  </si>
  <si>
    <t>T15A_est34</t>
  </si>
  <si>
    <t>T15C_est34</t>
  </si>
  <si>
    <t>T15A_est35</t>
  </si>
  <si>
    <t>T15C_est35</t>
  </si>
  <si>
    <t>T15B_est35</t>
  </si>
  <si>
    <t>T15A_est36</t>
  </si>
  <si>
    <t>T15B_est36</t>
  </si>
  <si>
    <t>T15C_est36</t>
  </si>
  <si>
    <t>T15A_est37</t>
  </si>
  <si>
    <t>T15C_est37</t>
  </si>
  <si>
    <t>T15B_est37</t>
  </si>
  <si>
    <t>T15A_est38</t>
  </si>
  <si>
    <t>T15C_est38</t>
  </si>
  <si>
    <t>T15B_est38</t>
  </si>
  <si>
    <t>T15C_est39</t>
  </si>
  <si>
    <t>T15A_est39</t>
  </si>
  <si>
    <t>T15B_est39</t>
  </si>
  <si>
    <t>T15B_est40</t>
  </si>
  <si>
    <t>T15A_est40</t>
  </si>
  <si>
    <t>T15C_est40</t>
  </si>
  <si>
    <t>T15A_est41</t>
  </si>
  <si>
    <t>T15B_est41</t>
  </si>
  <si>
    <t>T15C_est41</t>
  </si>
  <si>
    <t>T15A_est42</t>
  </si>
  <si>
    <t>T15B_est42</t>
  </si>
  <si>
    <t>T15C_est42</t>
  </si>
  <si>
    <t>T15A_est43</t>
  </si>
  <si>
    <t>T15C_est43</t>
  </si>
  <si>
    <t>T15B_est43</t>
  </si>
  <si>
    <t>T15A_est44</t>
  </si>
  <si>
    <t>T15B_est44</t>
  </si>
  <si>
    <t>T15C_est44</t>
  </si>
  <si>
    <t>T15A_est45</t>
  </si>
  <si>
    <t>T15C_est45</t>
  </si>
  <si>
    <t>T15B_est45</t>
  </si>
  <si>
    <t>T15C_est46</t>
  </si>
  <si>
    <t>T15B_est46</t>
  </si>
  <si>
    <t>Home value: greater than VHUD80 but less than or equal to VHUD100</t>
  </si>
  <si>
    <t>T15A_est46</t>
  </si>
  <si>
    <t>T15A_est47</t>
  </si>
  <si>
    <t>T15B_est47</t>
  </si>
  <si>
    <t>T15C_est47</t>
  </si>
  <si>
    <t>T15A_est48</t>
  </si>
  <si>
    <t>T15B_est48</t>
  </si>
  <si>
    <t>T15C_est48</t>
  </si>
  <si>
    <t>T15C_est49</t>
  </si>
  <si>
    <t>T15A_est49</t>
  </si>
  <si>
    <t>T15B_est49</t>
  </si>
  <si>
    <t>T15B_est50</t>
  </si>
  <si>
    <t>T15C_est50</t>
  </si>
  <si>
    <t>T15A_est50</t>
  </si>
  <si>
    <t>T15C_est51</t>
  </si>
  <si>
    <t>T15A_est51</t>
  </si>
  <si>
    <t>T15B_est51</t>
  </si>
  <si>
    <t>T15B_est52</t>
  </si>
  <si>
    <t>T15C_est52</t>
  </si>
  <si>
    <t>T15A_est52</t>
  </si>
  <si>
    <t>T15B_est53</t>
  </si>
  <si>
    <t>T15C_est53</t>
  </si>
  <si>
    <t>T15A_est53</t>
  </si>
  <si>
    <t>T15C_est54</t>
  </si>
  <si>
    <t>T15A_est54</t>
  </si>
  <si>
    <t>T15B_est54</t>
  </si>
  <si>
    <t>T15A_est55</t>
  </si>
  <si>
    <t>T15C_est55</t>
  </si>
  <si>
    <t>T15B_est55</t>
  </si>
  <si>
    <t>T15A_est56</t>
  </si>
  <si>
    <t>T15C_est56</t>
  </si>
  <si>
    <t>T15B_est56</t>
  </si>
  <si>
    <t>T15B_est57</t>
  </si>
  <si>
    <t>T15C_est57</t>
  </si>
  <si>
    <t>T15A_est57</t>
  </si>
  <si>
    <t>T15A_est58</t>
  </si>
  <si>
    <t>T15C_est58</t>
  </si>
  <si>
    <t>T15B_est58</t>
  </si>
  <si>
    <t>T15B_est59</t>
  </si>
  <si>
    <t>T15C_est59</t>
  </si>
  <si>
    <t>T15A_est59</t>
  </si>
  <si>
    <t>T15C_est60</t>
  </si>
  <si>
    <t>T15B_est60</t>
  </si>
  <si>
    <t>T15A_est60</t>
  </si>
  <si>
    <t>T15B_est61</t>
  </si>
  <si>
    <t>T15A_est61</t>
  </si>
  <si>
    <t>T15C_est61</t>
  </si>
  <si>
    <t>T15B_est62</t>
  </si>
  <si>
    <t>T15C_est62</t>
  </si>
  <si>
    <t>T15A_est62</t>
  </si>
  <si>
    <t>T15B_est63</t>
  </si>
  <si>
    <t>T15A_est63</t>
  </si>
  <si>
    <t>T15C_est63</t>
  </si>
  <si>
    <t>T15A_est64</t>
  </si>
  <si>
    <t>T15C_est64</t>
  </si>
  <si>
    <t>T15B_est64</t>
  </si>
  <si>
    <t>T15B_est65</t>
  </si>
  <si>
    <t>T15C_est65</t>
  </si>
  <si>
    <t>T15A_est65</t>
  </si>
  <si>
    <t>T15B_est66</t>
  </si>
  <si>
    <t>T15C_est66</t>
  </si>
  <si>
    <t>T15A_est66</t>
  </si>
  <si>
    <t>T15A_est67</t>
  </si>
  <si>
    <t>Home value: greater than VHUD100</t>
  </si>
  <si>
    <t>T15C_est67</t>
  </si>
  <si>
    <t>T15B_est67</t>
  </si>
  <si>
    <t>T15B_est68</t>
  </si>
  <si>
    <t>T15C_est68</t>
  </si>
  <si>
    <t>T15A_est68</t>
  </si>
  <si>
    <t>T15A_est69</t>
  </si>
  <si>
    <t>T15B_est69</t>
  </si>
  <si>
    <t>T15C_est69</t>
  </si>
  <si>
    <t>T15A_est70</t>
  </si>
  <si>
    <t>T15C_est70</t>
  </si>
  <si>
    <t>T15B_est70</t>
  </si>
  <si>
    <t>T15A_est71</t>
  </si>
  <si>
    <t>T15C_est71</t>
  </si>
  <si>
    <t>T15B_est71</t>
  </si>
  <si>
    <t>T15C_est72</t>
  </si>
  <si>
    <t>T15A_est72</t>
  </si>
  <si>
    <t>T15B_est72</t>
  </si>
  <si>
    <t>T15A_est73</t>
  </si>
  <si>
    <t>T15B_est73</t>
  </si>
  <si>
    <t>T15C_est73</t>
  </si>
  <si>
    <t>T15C_est74</t>
  </si>
  <si>
    <t>T15B_est74</t>
  </si>
  <si>
    <t>T15A_est74</t>
  </si>
  <si>
    <t>T15C_est75</t>
  </si>
  <si>
    <t>T15A_est75</t>
  </si>
  <si>
    <t>T15B_est75</t>
  </si>
  <si>
    <t>T15C_est76</t>
  </si>
  <si>
    <t>T15A_est76</t>
  </si>
  <si>
    <t>T15B_est76</t>
  </si>
  <si>
    <t>T15C_est77</t>
  </si>
  <si>
    <t>T15B_est77</t>
  </si>
  <si>
    <t>T15A_est77</t>
  </si>
  <si>
    <t>T15A_est78</t>
  </si>
  <si>
    <t>T15C_est78</t>
  </si>
  <si>
    <t>T15B_est78</t>
  </si>
  <si>
    <t>T15A_est79</t>
  </si>
  <si>
    <t>T15B_est79</t>
  </si>
  <si>
    <t>T15C_est79</t>
  </si>
  <si>
    <t>T15C_est80</t>
  </si>
  <si>
    <t>T15B_est80</t>
  </si>
  <si>
    <t>T15A_est80</t>
  </si>
  <si>
    <t>T15C_est81</t>
  </si>
  <si>
    <t>T15B_est81</t>
  </si>
  <si>
    <t>T15A_est81</t>
  </si>
  <si>
    <t>T15C_est82</t>
  </si>
  <si>
    <t>T15A_est82</t>
  </si>
  <si>
    <t>T15B_est82</t>
  </si>
  <si>
    <t>T15B_est83</t>
  </si>
  <si>
    <t>T15C_est83</t>
  </si>
  <si>
    <t>T15A_est83</t>
  </si>
  <si>
    <t>T15C_est84</t>
  </si>
  <si>
    <t>T15A_est84</t>
  </si>
  <si>
    <t>T15B_est84</t>
  </si>
  <si>
    <t>T15B_est85</t>
  </si>
  <si>
    <t>T15C_est85</t>
  </si>
  <si>
    <t>T15A_est85</t>
  </si>
  <si>
    <t>T15C_est86</t>
  </si>
  <si>
    <t>T15B_est86</t>
  </si>
  <si>
    <t>T15A_est86</t>
  </si>
  <si>
    <t>T15A_est87</t>
  </si>
  <si>
    <t>T15B_est87</t>
  </si>
  <si>
    <t>T15C_est87</t>
  </si>
  <si>
    <t>T16_est1</t>
  </si>
  <si>
    <t>Housing problems: All</t>
  </si>
  <si>
    <t>T16_est2</t>
  </si>
  <si>
    <t>T16_est3</t>
  </si>
  <si>
    <t>T16_est4</t>
  </si>
  <si>
    <t>Household type: elderly family (2 persons, with either or both age 62 or over)</t>
  </si>
  <si>
    <t>T16_est5</t>
  </si>
  <si>
    <t>Housing problems: has 1 of 4 housing problems</t>
  </si>
  <si>
    <t>T16_est6</t>
  </si>
  <si>
    <t>Housing problems: has none of 4 housing problems</t>
  </si>
  <si>
    <t>T16_est7</t>
  </si>
  <si>
    <t>Housing problems: cost burden not computed, household has none of the other housing problems</t>
  </si>
  <si>
    <t>T16_est8</t>
  </si>
  <si>
    <t>Household type: small family (2 persons, neither person 62 years or over, or 3 or 4 persons)</t>
  </si>
  <si>
    <t>T16_est9</t>
  </si>
  <si>
    <t>T16_est10</t>
  </si>
  <si>
    <t>T16_est11</t>
  </si>
  <si>
    <t>T16_est12</t>
  </si>
  <si>
    <t>Household type: large family (5 or more persons)</t>
  </si>
  <si>
    <t>T16_est13</t>
  </si>
  <si>
    <t>T16_est14</t>
  </si>
  <si>
    <t>T16_est15</t>
  </si>
  <si>
    <t>T16_est16</t>
  </si>
  <si>
    <t>Household type: elderly non-family (1 or 2 person non-family households with either person 62 years or over)</t>
  </si>
  <si>
    <t>T16_est17</t>
  </si>
  <si>
    <t>T16_est18</t>
  </si>
  <si>
    <t>T16_est19</t>
  </si>
  <si>
    <t>T16_est20</t>
  </si>
  <si>
    <t>Household type: non-family non-elderly</t>
  </si>
  <si>
    <t>T16_est21</t>
  </si>
  <si>
    <t>T16_est22</t>
  </si>
  <si>
    <t>T16_est23</t>
  </si>
  <si>
    <t>T16_est24</t>
  </si>
  <si>
    <t>T16_est25</t>
  </si>
  <si>
    <t>Household income: greater than 30% of HAMFI but less than or equal to 50% of HAMFI</t>
  </si>
  <si>
    <t>T16_est26</t>
  </si>
  <si>
    <t>T16_est27</t>
  </si>
  <si>
    <t>T16_est28</t>
  </si>
  <si>
    <t>T16_est29</t>
  </si>
  <si>
    <t>T16_est30</t>
  </si>
  <si>
    <t>T16_est31</t>
  </si>
  <si>
    <t>T16_est32</t>
  </si>
  <si>
    <t>T16_est33</t>
  </si>
  <si>
    <t>T16_est34</t>
  </si>
  <si>
    <t>T16_est35</t>
  </si>
  <si>
    <t>T16_est36</t>
  </si>
  <si>
    <t>T16_est37</t>
  </si>
  <si>
    <t>T16_est38</t>
  </si>
  <si>
    <t>T16_est39</t>
  </si>
  <si>
    <t>T16_est40</t>
  </si>
  <si>
    <t>T16_est41</t>
  </si>
  <si>
    <t>T16_est42</t>
  </si>
  <si>
    <t>T16_est43</t>
  </si>
  <si>
    <t>T16_est44</t>
  </si>
  <si>
    <t>T16_est45</t>
  </si>
  <si>
    <t>T16_est46</t>
  </si>
  <si>
    <t>Household income: greater than 50% of HAMFI but less than or equal to 80% of HAMFI</t>
  </si>
  <si>
    <t>T16_est47</t>
  </si>
  <si>
    <t>T16_est48</t>
  </si>
  <si>
    <t>T16_est49</t>
  </si>
  <si>
    <t>T16_est50</t>
  </si>
  <si>
    <t>T16_est51</t>
  </si>
  <si>
    <t>T16_est52</t>
  </si>
  <si>
    <t>T16_est53</t>
  </si>
  <si>
    <t>T16_est54</t>
  </si>
  <si>
    <t>T16_est55</t>
  </si>
  <si>
    <t>T16_est56</t>
  </si>
  <si>
    <t>T16_est57</t>
  </si>
  <si>
    <t>T16_est58</t>
  </si>
  <si>
    <t>T16_est59</t>
  </si>
  <si>
    <t>T16_est60</t>
  </si>
  <si>
    <t>T16_est61</t>
  </si>
  <si>
    <t>T16_est62</t>
  </si>
  <si>
    <t>T16_est63</t>
  </si>
  <si>
    <t>T16_est64</t>
  </si>
  <si>
    <t>T16_est65</t>
  </si>
  <si>
    <t>T16_est66</t>
  </si>
  <si>
    <t>Household income: greater than 80% of HAMFI</t>
  </si>
  <si>
    <t>T16_est67</t>
  </si>
  <si>
    <t>T16_est68</t>
  </si>
  <si>
    <t>T16_est69</t>
  </si>
  <si>
    <t>T16_est70</t>
  </si>
  <si>
    <t>T16_est71</t>
  </si>
  <si>
    <t>T16_est72</t>
  </si>
  <si>
    <t>T16_est73</t>
  </si>
  <si>
    <t>T16_est74</t>
  </si>
  <si>
    <t>T16_est75</t>
  </si>
  <si>
    <t>T16_est76</t>
  </si>
  <si>
    <t>T16_est77</t>
  </si>
  <si>
    <t>T16_est78</t>
  </si>
  <si>
    <t>T16_est79</t>
  </si>
  <si>
    <t>T16_est80</t>
  </si>
  <si>
    <t>T16_est81</t>
  </si>
  <si>
    <t>T16_est82</t>
  </si>
  <si>
    <t>T16_est83</t>
  </si>
  <si>
    <t>T16_est84</t>
  </si>
  <si>
    <t>T16_est85</t>
  </si>
  <si>
    <t>T16_est86</t>
  </si>
  <si>
    <t>T16_est87</t>
  </si>
  <si>
    <t>T16_est88</t>
  </si>
  <si>
    <t>T16_est89</t>
  </si>
  <si>
    <t>T16_est90</t>
  </si>
  <si>
    <t>T16_est91</t>
  </si>
  <si>
    <t>T16_est92</t>
  </si>
  <si>
    <t>T16_est93</t>
  </si>
  <si>
    <t>T16_est94</t>
  </si>
  <si>
    <t>T16_est95</t>
  </si>
  <si>
    <t>T16_est96</t>
  </si>
  <si>
    <t>T16_est97</t>
  </si>
  <si>
    <t>T16_est98</t>
  </si>
  <si>
    <t>T16_est99</t>
  </si>
  <si>
    <t>T16_est100</t>
  </si>
  <si>
    <t>T16_est101</t>
  </si>
  <si>
    <t>T16_est102</t>
  </si>
  <si>
    <t>T16_est103</t>
  </si>
  <si>
    <t>T16_est104</t>
  </si>
  <si>
    <t>T16_est105</t>
  </si>
  <si>
    <t>T16_est106</t>
  </si>
  <si>
    <t>T16_est107</t>
  </si>
  <si>
    <t>T16_est108</t>
  </si>
  <si>
    <t>T16_est109</t>
  </si>
  <si>
    <t>T16_est110</t>
  </si>
  <si>
    <t>T16_est111</t>
  </si>
  <si>
    <t>T16_est112</t>
  </si>
  <si>
    <t>T16_est113</t>
  </si>
  <si>
    <t>T16_est114</t>
  </si>
  <si>
    <t>T16_est115</t>
  </si>
  <si>
    <t>T16_est116</t>
  </si>
  <si>
    <t>T16_est117</t>
  </si>
  <si>
    <t>T16_est118</t>
  </si>
  <si>
    <t>T16_est119</t>
  </si>
  <si>
    <t>T16_est120</t>
  </si>
  <si>
    <t>T16_est121</t>
  </si>
  <si>
    <t>T16_est122</t>
  </si>
  <si>
    <t>T16_est123</t>
  </si>
  <si>
    <t>T16_est124</t>
  </si>
  <si>
    <t>T16_est125</t>
  </si>
  <si>
    <t>T16_est126</t>
  </si>
  <si>
    <t>T16_est127</t>
  </si>
  <si>
    <t>T16_est128</t>
  </si>
  <si>
    <t>T16_est129</t>
  </si>
  <si>
    <t>T16_est130</t>
  </si>
  <si>
    <t>T16_est131</t>
  </si>
  <si>
    <t>T16_est132</t>
  </si>
  <si>
    <t>T16_est133</t>
  </si>
  <si>
    <t>T16_est134</t>
  </si>
  <si>
    <t>T16_est135</t>
  </si>
  <si>
    <t>T16_est136</t>
  </si>
  <si>
    <t>T16_est137</t>
  </si>
  <si>
    <t>T16_est138</t>
  </si>
  <si>
    <t>T16_est139</t>
  </si>
  <si>
    <t>T16_est140</t>
  </si>
  <si>
    <t>T16_est141</t>
  </si>
  <si>
    <t>T16_est142</t>
  </si>
  <si>
    <t>T16_est143</t>
  </si>
  <si>
    <t>T16_est144</t>
  </si>
  <si>
    <t>T16_est145</t>
  </si>
  <si>
    <t>T16_est146</t>
  </si>
  <si>
    <t>T16_est147</t>
  </si>
  <si>
    <t>T16_est148</t>
  </si>
  <si>
    <t>T16_est149</t>
  </si>
  <si>
    <t>T16_est150</t>
  </si>
  <si>
    <t>T16_est151</t>
  </si>
  <si>
    <t>T16_est152</t>
  </si>
  <si>
    <t>T16_est153</t>
  </si>
  <si>
    <t>T16_est154</t>
  </si>
  <si>
    <t>T16_est155</t>
  </si>
  <si>
    <t>T16_est156</t>
  </si>
  <si>
    <t>T16_est157</t>
  </si>
  <si>
    <t>T16_est158</t>
  </si>
  <si>
    <t>T16_est159</t>
  </si>
  <si>
    <t>T16_est160</t>
  </si>
  <si>
    <t>T16_est161</t>
  </si>
  <si>
    <t>T16_est162</t>
  </si>
  <si>
    <t>T16_est163</t>
  </si>
  <si>
    <t>T16_est164</t>
  </si>
  <si>
    <t>T16_est165</t>
  </si>
  <si>
    <t>T16_est166</t>
  </si>
  <si>
    <t>T16_est167</t>
  </si>
  <si>
    <t>T16_est168</t>
  </si>
  <si>
    <t>T16_est169</t>
  </si>
  <si>
    <t>T16_est170</t>
  </si>
  <si>
    <t>T16_est171</t>
  </si>
  <si>
    <t>T17B_est1</t>
  </si>
  <si>
    <t>T17A_est1</t>
  </si>
  <si>
    <t>Asking price: All</t>
  </si>
  <si>
    <t>T17B_est2</t>
  </si>
  <si>
    <t>Tenure: One unit in structure</t>
  </si>
  <si>
    <t>T17A_est2</t>
  </si>
  <si>
    <t>T17B_est3</t>
  </si>
  <si>
    <t>Rent: Rent less than or equal to RHUD30</t>
  </si>
  <si>
    <t>T17A_est3</t>
  </si>
  <si>
    <t>Asking price: Value less than or equal to VHUD50</t>
  </si>
  <si>
    <t>T17B_est4</t>
  </si>
  <si>
    <t>Rent: Rent greater than RHUD30 and less than or equal to RHUD50</t>
  </si>
  <si>
    <t>T17A_est4</t>
  </si>
  <si>
    <t>Asking price: Value greater than VHUD50 and less than or equal to VHUD80</t>
  </si>
  <si>
    <t>T17B_est5</t>
  </si>
  <si>
    <t>Rent: Rent greater than RHUD50 and less than or equal to RHUD80</t>
  </si>
  <si>
    <t>T17A_est5</t>
  </si>
  <si>
    <t>Asking price: Value greater than VHUD80 and less than or equal to VHUD100</t>
  </si>
  <si>
    <t>T17A_est6</t>
  </si>
  <si>
    <t>Asking price: Value greater than VHUD100</t>
  </si>
  <si>
    <t>T17B_est6</t>
  </si>
  <si>
    <t>Rent: Rent greater than RHUD80</t>
  </si>
  <si>
    <t>T17A_est7</t>
  </si>
  <si>
    <t>Tenure: 2 to 4 units in structure</t>
  </si>
  <si>
    <t>T17B_est7</t>
  </si>
  <si>
    <t>T17B_est8</t>
  </si>
  <si>
    <t>T17A_est8</t>
  </si>
  <si>
    <t>T17A_est9</t>
  </si>
  <si>
    <t>T17B_est9</t>
  </si>
  <si>
    <t>T17A_est10</t>
  </si>
  <si>
    <t>T17B_est10</t>
  </si>
  <si>
    <t>T17A_est11</t>
  </si>
  <si>
    <t>T17B_est11</t>
  </si>
  <si>
    <t>T17A_est12</t>
  </si>
  <si>
    <t>Tenure: 5 or more units in structure</t>
  </si>
  <si>
    <t>T17B_est12</t>
  </si>
  <si>
    <t>T17A_est13</t>
  </si>
  <si>
    <t>T17B_est13</t>
  </si>
  <si>
    <t>T17B_est14</t>
  </si>
  <si>
    <t>T17A_est14</t>
  </si>
  <si>
    <t>T17B_est15</t>
  </si>
  <si>
    <t>T17A_est15</t>
  </si>
  <si>
    <t>T17A_est16</t>
  </si>
  <si>
    <t>T17B_est16</t>
  </si>
  <si>
    <t>T17B_est17</t>
  </si>
  <si>
    <t>Tenure: Other structure type (mobile homes, etc.)</t>
  </si>
  <si>
    <t>T17A_est17</t>
  </si>
  <si>
    <t>T17B_est18</t>
  </si>
  <si>
    <t>T17A_est18</t>
  </si>
  <si>
    <t>T17A_est19</t>
  </si>
  <si>
    <t>T17B_est19</t>
  </si>
  <si>
    <t>T17A_est20</t>
  </si>
  <si>
    <t>T17B_est20</t>
  </si>
  <si>
    <t>T17B_est21</t>
  </si>
  <si>
    <t>T17A_est21</t>
  </si>
  <si>
    <t>T18B_est1</t>
  </si>
  <si>
    <t>Tenure: Total: Owner occupied with no mortgage</t>
  </si>
  <si>
    <t>Units in structure: All</t>
  </si>
  <si>
    <t>T18A_est1</t>
  </si>
  <si>
    <t>Tenure: Total: Owner occupied with a mortgage</t>
  </si>
  <si>
    <t>T18C_est1</t>
  </si>
  <si>
    <t>Tenure: Total: Renter occupied</t>
  </si>
  <si>
    <t>T18B_est2</t>
  </si>
  <si>
    <t>Units in structure: One unit in structure</t>
  </si>
  <si>
    <t>T18C_est2</t>
  </si>
  <si>
    <t>T18A_est2</t>
  </si>
  <si>
    <t>Tenure: Owner occupied with a mortgage</t>
  </si>
  <si>
    <t>T18A_est3</t>
  </si>
  <si>
    <t>Home value: Value less than or equal to VHUD50</t>
  </si>
  <si>
    <t>T18B_est3</t>
  </si>
  <si>
    <t>T18C_est3</t>
  </si>
  <si>
    <t>T18A_est4</t>
  </si>
  <si>
    <t>T18B_est4</t>
  </si>
  <si>
    <t>T18C_est4</t>
  </si>
  <si>
    <t>T18C_est5</t>
  </si>
  <si>
    <t>T18A_est5</t>
  </si>
  <si>
    <t>T18B_est5</t>
  </si>
  <si>
    <t>T18C_est6</t>
  </si>
  <si>
    <t>T18B_est6</t>
  </si>
  <si>
    <t>T18A_est6</t>
  </si>
  <si>
    <t>T18A_est7</t>
  </si>
  <si>
    <t>Household income: greater than 80% of HAMFI but less than or equal to 100% of HAMFI</t>
  </si>
  <si>
    <t>T18C_est7</t>
  </si>
  <si>
    <t>T18B_est7</t>
  </si>
  <si>
    <t>T18B_est8</t>
  </si>
  <si>
    <t>T18C_est8</t>
  </si>
  <si>
    <t>T18A_est8</t>
  </si>
  <si>
    <t>T18C_est9</t>
  </si>
  <si>
    <t>Rent: greater than RHUD30 and less than or equal to RHUD50</t>
  </si>
  <si>
    <t>T18A_est9</t>
  </si>
  <si>
    <t>Home value: Value greater than VHUD50 and less than or equal to VHUD80</t>
  </si>
  <si>
    <t>T18B_est9</t>
  </si>
  <si>
    <t>T18A_est10</t>
  </si>
  <si>
    <t>T18B_est10</t>
  </si>
  <si>
    <t>T18C_est10</t>
  </si>
  <si>
    <t>T18A_est11</t>
  </si>
  <si>
    <t>T18C_est11</t>
  </si>
  <si>
    <t>T18B_est11</t>
  </si>
  <si>
    <t>T18A_est12</t>
  </si>
  <si>
    <t>T18B_est12</t>
  </si>
  <si>
    <t>T18C_est12</t>
  </si>
  <si>
    <t>T18C_est13</t>
  </si>
  <si>
    <t>T18B_est13</t>
  </si>
  <si>
    <t>T18A_est13</t>
  </si>
  <si>
    <t>T18B_est14</t>
  </si>
  <si>
    <t>T18C_est14</t>
  </si>
  <si>
    <t>T18A_est14</t>
  </si>
  <si>
    <t>T18C_est15</t>
  </si>
  <si>
    <t>Rent: greater than RHUD50 and less than or equal to RHUD80</t>
  </si>
  <si>
    <t>T18B_est15</t>
  </si>
  <si>
    <t>Home value: Value greater than VHUD80 and less than or equal to VHUD100</t>
  </si>
  <si>
    <t>T18A_est15</t>
  </si>
  <si>
    <t>T18A_est16</t>
  </si>
  <si>
    <t>T18C_est16</t>
  </si>
  <si>
    <t>T18B_est16</t>
  </si>
  <si>
    <t>T18C_est17</t>
  </si>
  <si>
    <t>T18A_est17</t>
  </si>
  <si>
    <t>T18B_est17</t>
  </si>
  <si>
    <t>T18B_est18</t>
  </si>
  <si>
    <t>T18C_est18</t>
  </si>
  <si>
    <t>T18A_est18</t>
  </si>
  <si>
    <t>T18A_est19</t>
  </si>
  <si>
    <t>T18C_est19</t>
  </si>
  <si>
    <t>T18B_est19</t>
  </si>
  <si>
    <t>T18C_est20</t>
  </si>
  <si>
    <t>T18A_est20</t>
  </si>
  <si>
    <t>T18B_est20</t>
  </si>
  <si>
    <t>T18C_est21</t>
  </si>
  <si>
    <t>T18A_est21</t>
  </si>
  <si>
    <t>Home value: Value greater than VHUD100</t>
  </si>
  <si>
    <t>T18B_est21</t>
  </si>
  <si>
    <t>T18B_est22</t>
  </si>
  <si>
    <t>T18C_est22</t>
  </si>
  <si>
    <t>T18A_est22</t>
  </si>
  <si>
    <t>T18A_est23</t>
  </si>
  <si>
    <t>T18C_est23</t>
  </si>
  <si>
    <t>T18B_est23</t>
  </si>
  <si>
    <t>T18A_est24</t>
  </si>
  <si>
    <t>T18B_est24</t>
  </si>
  <si>
    <t>T18C_est24</t>
  </si>
  <si>
    <t>T18C_est25</t>
  </si>
  <si>
    <t>T18A_est25</t>
  </si>
  <si>
    <t>T18B_est25</t>
  </si>
  <si>
    <t>T18B_est26</t>
  </si>
  <si>
    <t>T18A_est26</t>
  </si>
  <si>
    <t>T18C_est26</t>
  </si>
  <si>
    <t>T18B_est27</t>
  </si>
  <si>
    <t>Units in structure: 2 to 4 units in structure</t>
  </si>
  <si>
    <t>T18C_est27</t>
  </si>
  <si>
    <t>T18A_est27</t>
  </si>
  <si>
    <t>T18B_est28</t>
  </si>
  <si>
    <t>T18C_est28</t>
  </si>
  <si>
    <t>T18A_est28</t>
  </si>
  <si>
    <t>T18C_est29</t>
  </si>
  <si>
    <t>T18B_est29</t>
  </si>
  <si>
    <t>T18A_est29</t>
  </si>
  <si>
    <t>T18A_est30</t>
  </si>
  <si>
    <t>T18C_est30</t>
  </si>
  <si>
    <t>T18B_est30</t>
  </si>
  <si>
    <t>T18B_est31</t>
  </si>
  <si>
    <t>T18C_est31</t>
  </si>
  <si>
    <t>T18A_est31</t>
  </si>
  <si>
    <t>T18B_est32</t>
  </si>
  <si>
    <t>T18A_est32</t>
  </si>
  <si>
    <t>T18C_est32</t>
  </si>
  <si>
    <t>T18A_est33</t>
  </si>
  <si>
    <t>T18B_est33</t>
  </si>
  <si>
    <t>T18C_est33</t>
  </si>
  <si>
    <t>T18A_est34</t>
  </si>
  <si>
    <t>T18B_est34</t>
  </si>
  <si>
    <t>T18C_est34</t>
  </si>
  <si>
    <t>T18A_est35</t>
  </si>
  <si>
    <t>T18B_est35</t>
  </si>
  <si>
    <t>T18C_est35</t>
  </si>
  <si>
    <t>T18B_est36</t>
  </si>
  <si>
    <t>T18A_est36</t>
  </si>
  <si>
    <t>T18C_est36</t>
  </si>
  <si>
    <t>T18A_est37</t>
  </si>
  <si>
    <t>T18B_est37</t>
  </si>
  <si>
    <t>T18C_est37</t>
  </si>
  <si>
    <t>T18C_est38</t>
  </si>
  <si>
    <t>T18B_est38</t>
  </si>
  <si>
    <t>T18A_est38</t>
  </si>
  <si>
    <t>T18A_est39</t>
  </si>
  <si>
    <t>T18C_est39</t>
  </si>
  <si>
    <t>T18B_est39</t>
  </si>
  <si>
    <t>T18C_est40</t>
  </si>
  <si>
    <t>T18A_est40</t>
  </si>
  <si>
    <t>T18B_est40</t>
  </si>
  <si>
    <t>T18A_est41</t>
  </si>
  <si>
    <t>T18B_est41</t>
  </si>
  <si>
    <t>T18C_est41</t>
  </si>
  <si>
    <t>T18B_est42</t>
  </si>
  <si>
    <t>T18A_est42</t>
  </si>
  <si>
    <t>T18C_est42</t>
  </si>
  <si>
    <t>T18C_est43</t>
  </si>
  <si>
    <t>T18A_est43</t>
  </si>
  <si>
    <t>T18B_est43</t>
  </si>
  <si>
    <t>T18B_est44</t>
  </si>
  <si>
    <t>T18C_est44</t>
  </si>
  <si>
    <t>T18A_est44</t>
  </si>
  <si>
    <t>T18B_est45</t>
  </si>
  <si>
    <t>T18A_est45</t>
  </si>
  <si>
    <t>T18C_est45</t>
  </si>
  <si>
    <t>T18C_est46</t>
  </si>
  <si>
    <t>T18B_est46</t>
  </si>
  <si>
    <t>T18A_est46</t>
  </si>
  <si>
    <t>T18A_est47</t>
  </si>
  <si>
    <t>T18B_est47</t>
  </si>
  <si>
    <t>T18C_est47</t>
  </si>
  <si>
    <t>T18B_est48</t>
  </si>
  <si>
    <t>T18A_est48</t>
  </si>
  <si>
    <t>T18C_est48</t>
  </si>
  <si>
    <t>T18B_est49</t>
  </si>
  <si>
    <t>T18C_est49</t>
  </si>
  <si>
    <t>T18A_est49</t>
  </si>
  <si>
    <t>T18B_est50</t>
  </si>
  <si>
    <t>T18A_est50</t>
  </si>
  <si>
    <t>T18C_est50</t>
  </si>
  <si>
    <t>T18B_est51</t>
  </si>
  <si>
    <t>T18C_est51</t>
  </si>
  <si>
    <t>T18A_est51</t>
  </si>
  <si>
    <t>T18B_est52</t>
  </si>
  <si>
    <t>Units in structure: 5 or more units in structure</t>
  </si>
  <si>
    <t>T18C_est52</t>
  </si>
  <si>
    <t>T18A_est52</t>
  </si>
  <si>
    <t>T18A_est53</t>
  </si>
  <si>
    <t>T18C_est53</t>
  </si>
  <si>
    <t>T18B_est53</t>
  </si>
  <si>
    <t>T18C_est54</t>
  </si>
  <si>
    <t>T18B_est54</t>
  </si>
  <si>
    <t>T18A_est54</t>
  </si>
  <si>
    <t>T18B_est55</t>
  </si>
  <si>
    <t>T18C_est55</t>
  </si>
  <si>
    <t>T18A_est55</t>
  </si>
  <si>
    <t>T18A_est56</t>
  </si>
  <si>
    <t>T18C_est56</t>
  </si>
  <si>
    <t>T18B_est56</t>
  </si>
  <si>
    <t>T18B_est57</t>
  </si>
  <si>
    <t>T18A_est57</t>
  </si>
  <si>
    <t>T18C_est57</t>
  </si>
  <si>
    <t>T18A_est58</t>
  </si>
  <si>
    <t>T18B_est58</t>
  </si>
  <si>
    <t>T18C_est58</t>
  </si>
  <si>
    <t>T18C_est59</t>
  </si>
  <si>
    <t>T18A_est59</t>
  </si>
  <si>
    <t>T18B_est59</t>
  </si>
  <si>
    <t>T18B_est60</t>
  </si>
  <si>
    <t>T18C_est60</t>
  </si>
  <si>
    <t>T18A_est60</t>
  </si>
  <si>
    <t>T18A_est61</t>
  </si>
  <si>
    <t>T18C_est61</t>
  </si>
  <si>
    <t>T18B_est61</t>
  </si>
  <si>
    <t>T18C_est62</t>
  </si>
  <si>
    <t>T18B_est62</t>
  </si>
  <si>
    <t>T18A_est62</t>
  </si>
  <si>
    <t>T18A_est63</t>
  </si>
  <si>
    <t>T18C_est63</t>
  </si>
  <si>
    <t>T18B_est63</t>
  </si>
  <si>
    <t>T18B_est64</t>
  </si>
  <si>
    <t>T18A_est64</t>
  </si>
  <si>
    <t>T18C_est64</t>
  </si>
  <si>
    <t>T18A_est65</t>
  </si>
  <si>
    <t>T18B_est65</t>
  </si>
  <si>
    <t>T18C_est65</t>
  </si>
  <si>
    <t>T18B_est66</t>
  </si>
  <si>
    <t>T18C_est66</t>
  </si>
  <si>
    <t>T18A_est66</t>
  </si>
  <si>
    <t>T18C_est67</t>
  </si>
  <si>
    <t>T18A_est67</t>
  </si>
  <si>
    <t>T18B_est67</t>
  </si>
  <si>
    <t>T18B_est68</t>
  </si>
  <si>
    <t>T18A_est68</t>
  </si>
  <si>
    <t>T18C_est68</t>
  </si>
  <si>
    <t>T18B_est69</t>
  </si>
  <si>
    <t>T18C_est69</t>
  </si>
  <si>
    <t>T18A_est69</t>
  </si>
  <si>
    <t>T18C_est70</t>
  </si>
  <si>
    <t>T18A_est70</t>
  </si>
  <si>
    <t>T18B_est70</t>
  </si>
  <si>
    <t>T18B_est71</t>
  </si>
  <si>
    <t>T18A_est71</t>
  </si>
  <si>
    <t>T18C_est71</t>
  </si>
  <si>
    <t>T18A_est72</t>
  </si>
  <si>
    <t>T18C_est72</t>
  </si>
  <si>
    <t>T18B_est72</t>
  </si>
  <si>
    <t>T18C_est73</t>
  </si>
  <si>
    <t>T18B_est73</t>
  </si>
  <si>
    <t>T18A_est73</t>
  </si>
  <si>
    <t>T18A_est74</t>
  </si>
  <si>
    <t>T18B_est74</t>
  </si>
  <si>
    <t>T18C_est74</t>
  </si>
  <si>
    <t>T18C_est75</t>
  </si>
  <si>
    <t>T18A_est75</t>
  </si>
  <si>
    <t>T18B_est75</t>
  </si>
  <si>
    <t>T18A_est76</t>
  </si>
  <si>
    <t>T18C_est76</t>
  </si>
  <si>
    <t>T18B_est76</t>
  </si>
  <si>
    <t>T18C_est77</t>
  </si>
  <si>
    <t>Units in structure: Other structure type (mobile homes, etc.)</t>
  </si>
  <si>
    <t>T18B_est77</t>
  </si>
  <si>
    <t>T18A_est77</t>
  </si>
  <si>
    <t>T18A_est78</t>
  </si>
  <si>
    <t>T18C_est78</t>
  </si>
  <si>
    <t>T18B_est78</t>
  </si>
  <si>
    <t>T18A_est79</t>
  </si>
  <si>
    <t>T18C_est79</t>
  </si>
  <si>
    <t>T18B_est79</t>
  </si>
  <si>
    <t>T18A_est80</t>
  </si>
  <si>
    <t>T18B_est80</t>
  </si>
  <si>
    <t>T18C_est80</t>
  </si>
  <si>
    <t>T18B_est81</t>
  </si>
  <si>
    <t>T18C_est81</t>
  </si>
  <si>
    <t>T18A_est81</t>
  </si>
  <si>
    <t>T18C_est82</t>
  </si>
  <si>
    <t>T18B_est82</t>
  </si>
  <si>
    <t>T18A_est82</t>
  </si>
  <si>
    <t>T18A_est83</t>
  </si>
  <si>
    <t>T18B_est83</t>
  </si>
  <si>
    <t>T18C_est83</t>
  </si>
  <si>
    <t>T18A_est84</t>
  </si>
  <si>
    <t>T18C_est84</t>
  </si>
  <si>
    <t>T18B_est84</t>
  </si>
  <si>
    <t>T18A_est85</t>
  </si>
  <si>
    <t>T18B_est85</t>
  </si>
  <si>
    <t>T18C_est85</t>
  </si>
  <si>
    <t>T18B_est86</t>
  </si>
  <si>
    <t>T18A_est86</t>
  </si>
  <si>
    <t>T18C_est86</t>
  </si>
  <si>
    <t>T18B_est87</t>
  </si>
  <si>
    <t>T18A_est87</t>
  </si>
  <si>
    <t>T18C_est87</t>
  </si>
  <si>
    <t>T18B_est88</t>
  </si>
  <si>
    <t>T18A_est88</t>
  </si>
  <si>
    <t>T18C_est88</t>
  </si>
  <si>
    <t>T18C_est89</t>
  </si>
  <si>
    <t>T18A_est89</t>
  </si>
  <si>
    <t>T18B_est89</t>
  </si>
  <si>
    <t>T18A_est90</t>
  </si>
  <si>
    <t>T18B_est90</t>
  </si>
  <si>
    <t>T18C_est90</t>
  </si>
  <si>
    <t>T18C_est91</t>
  </si>
  <si>
    <t>T18B_est91</t>
  </si>
  <si>
    <t>T18A_est91</t>
  </si>
  <si>
    <t>T18C_est92</t>
  </si>
  <si>
    <t>T18B_est92</t>
  </si>
  <si>
    <t>T18A_est92</t>
  </si>
  <si>
    <t>T18C_est93</t>
  </si>
  <si>
    <t>T18B_est93</t>
  </si>
  <si>
    <t>T18A_est93</t>
  </si>
  <si>
    <t>T18A_est94</t>
  </si>
  <si>
    <t>T18B_est94</t>
  </si>
  <si>
    <t>T18C_est94</t>
  </si>
  <si>
    <t>T18B_est95</t>
  </si>
  <si>
    <t>T18C_est95</t>
  </si>
  <si>
    <t>T18A_est95</t>
  </si>
  <si>
    <t>T18C_est96</t>
  </si>
  <si>
    <t>T18B_est96</t>
  </si>
  <si>
    <t>T18A_est96</t>
  </si>
  <si>
    <t>T18B_est97</t>
  </si>
  <si>
    <t>T18A_est97</t>
  </si>
  <si>
    <t>T18C_est97</t>
  </si>
  <si>
    <t>T18B_est98</t>
  </si>
  <si>
    <t>T18A_est98</t>
  </si>
  <si>
    <t>T18C_est98</t>
  </si>
  <si>
    <t>T18B_est99</t>
  </si>
  <si>
    <t>T18C_est99</t>
  </si>
  <si>
    <t>T18A_est99</t>
  </si>
  <si>
    <t>T18B_est100</t>
  </si>
  <si>
    <t>T18A_est100</t>
  </si>
  <si>
    <t>T18C_est100</t>
  </si>
  <si>
    <t>T18C_est101</t>
  </si>
  <si>
    <t>T18A_est101</t>
  </si>
  <si>
    <t>T18B_est101</t>
  </si>
  <si>
    <r>
      <t xml:space="preserve">0-30% </t>
    </r>
    <r>
      <rPr>
        <b/>
        <sz val="10"/>
        <color rgb="FFFF0000"/>
        <rFont val="Calibri"/>
        <family val="2"/>
        <scheme val="minor"/>
      </rPr>
      <t>H</t>
    </r>
    <r>
      <rPr>
        <b/>
        <sz val="10"/>
        <color theme="1"/>
        <rFont val="Calibri"/>
        <family val="2"/>
        <scheme val="minor"/>
      </rPr>
      <t>AM</t>
    </r>
    <r>
      <rPr>
        <b/>
        <sz val="10"/>
        <color rgb="FFFF0000"/>
        <rFont val="Calibri"/>
        <family val="2"/>
        <scheme val="minor"/>
      </rPr>
      <t>F</t>
    </r>
    <r>
      <rPr>
        <b/>
        <sz val="10"/>
        <color theme="1"/>
        <rFont val="Calibri"/>
        <family val="2"/>
        <scheme val="minor"/>
      </rPr>
      <t>I</t>
    </r>
  </si>
  <si>
    <r>
      <t xml:space="preserve">&gt;30-50%  </t>
    </r>
    <r>
      <rPr>
        <b/>
        <sz val="10"/>
        <color rgb="FFFF0000"/>
        <rFont val="Calibri"/>
        <family val="2"/>
        <scheme val="minor"/>
      </rPr>
      <t>H</t>
    </r>
    <r>
      <rPr>
        <b/>
        <sz val="10"/>
        <color theme="1"/>
        <rFont val="Calibri"/>
        <family val="2"/>
        <scheme val="minor"/>
      </rPr>
      <t>AM</t>
    </r>
    <r>
      <rPr>
        <b/>
        <sz val="10"/>
        <color rgb="FFFF0000"/>
        <rFont val="Calibri"/>
        <family val="2"/>
        <scheme val="minor"/>
      </rPr>
      <t>F</t>
    </r>
    <r>
      <rPr>
        <b/>
        <sz val="10"/>
        <color theme="1"/>
        <rFont val="Calibri"/>
        <family val="2"/>
        <scheme val="minor"/>
      </rPr>
      <t>I</t>
    </r>
  </si>
  <si>
    <r>
      <t xml:space="preserve">&gt;50-80% </t>
    </r>
    <r>
      <rPr>
        <b/>
        <sz val="10"/>
        <color rgb="FFFF0000"/>
        <rFont val="Calibri"/>
        <family val="2"/>
        <scheme val="minor"/>
      </rPr>
      <t>H</t>
    </r>
    <r>
      <rPr>
        <b/>
        <sz val="10"/>
        <color theme="1"/>
        <rFont val="Calibri"/>
        <family val="2"/>
        <scheme val="minor"/>
      </rPr>
      <t>AM</t>
    </r>
    <r>
      <rPr>
        <b/>
        <sz val="10"/>
        <color rgb="FFFF0000"/>
        <rFont val="Calibri"/>
        <family val="2"/>
        <scheme val="minor"/>
      </rPr>
      <t>F</t>
    </r>
    <r>
      <rPr>
        <b/>
        <sz val="10"/>
        <color theme="1"/>
        <rFont val="Calibri"/>
        <family val="2"/>
        <scheme val="minor"/>
      </rPr>
      <t>I</t>
    </r>
  </si>
  <si>
    <r>
      <t xml:space="preserve">&gt;80-100% </t>
    </r>
    <r>
      <rPr>
        <b/>
        <sz val="10"/>
        <color rgb="FFFF0000"/>
        <rFont val="Calibri"/>
        <family val="2"/>
        <scheme val="minor"/>
      </rPr>
      <t>H</t>
    </r>
    <r>
      <rPr>
        <b/>
        <sz val="10"/>
        <color theme="1"/>
        <rFont val="Calibri"/>
        <family val="2"/>
        <scheme val="minor"/>
      </rPr>
      <t>AM</t>
    </r>
    <r>
      <rPr>
        <b/>
        <sz val="10"/>
        <color rgb="FFFF0000"/>
        <rFont val="Calibri"/>
        <family val="2"/>
        <scheme val="minor"/>
      </rPr>
      <t>F</t>
    </r>
    <r>
      <rPr>
        <b/>
        <sz val="10"/>
        <color theme="1"/>
        <rFont val="Calibri"/>
        <family val="2"/>
        <scheme val="minor"/>
      </rPr>
      <t>I</t>
    </r>
  </si>
  <si>
    <t>Severely Overcrowded - With &gt;1.5 people per room (and complete kitchen and plumbing)</t>
  </si>
  <si>
    <t>Overcrowded - With 1-1.5 people per room (and none of the above problems)</t>
  </si>
  <si>
    <r>
      <t>Housing cost burden</t>
    </r>
    <r>
      <rPr>
        <strike/>
        <sz val="11"/>
        <color rgb="FF000000"/>
        <rFont val="Calibri"/>
        <family val="2"/>
        <scheme val="minor"/>
      </rPr>
      <t xml:space="preserve"> greater than</t>
    </r>
    <r>
      <rPr>
        <sz val="11"/>
        <color rgb="FF000000"/>
        <rFont val="Calibri"/>
        <family val="2"/>
        <scheme val="minor"/>
      </rPr>
      <t xml:space="preserve"> 30</t>
    </r>
    <r>
      <rPr>
        <sz val="11"/>
        <color rgb="FFFF0000"/>
        <rFont val="Calibri"/>
        <family val="2"/>
        <scheme val="minor"/>
      </rPr>
      <t xml:space="preserve"> - 50</t>
    </r>
    <r>
      <rPr>
        <sz val="11"/>
        <color rgb="FF000000"/>
        <rFont val="Calibri"/>
        <family val="2"/>
        <scheme val="minor"/>
      </rPr>
      <t>% of income (and none of the above problems)</t>
    </r>
  </si>
  <si>
    <r>
      <t xml:space="preserve">Table 9 - Cost Burden 30 </t>
    </r>
    <r>
      <rPr>
        <b/>
        <sz val="11"/>
        <color rgb="FFFF0000"/>
        <rFont val="Calibri"/>
        <family val="2"/>
        <scheme val="minor"/>
      </rPr>
      <t>- 50</t>
    </r>
    <r>
      <rPr>
        <b/>
        <sz val="11"/>
        <color theme="1"/>
        <rFont val="Calibri"/>
        <family val="2"/>
        <scheme val="minor"/>
      </rPr>
      <t>%</t>
    </r>
  </si>
  <si>
    <t>b01003_001</t>
  </si>
  <si>
    <t>b25003_001</t>
  </si>
  <si>
    <t>b19013_001</t>
  </si>
  <si>
    <t>b25024_001</t>
  </si>
  <si>
    <t>b25024_002</t>
  </si>
  <si>
    <t>b25024_003</t>
  </si>
  <si>
    <t>b25024_004</t>
  </si>
  <si>
    <t>b25024_005</t>
  </si>
  <si>
    <t>b25024_006</t>
  </si>
  <si>
    <t>b25024_007</t>
  </si>
  <si>
    <t>b25024_008</t>
  </si>
  <si>
    <t>b25024_009</t>
  </si>
  <si>
    <t>b25024_010</t>
  </si>
  <si>
    <t>b25024_011</t>
  </si>
  <si>
    <t>b25042_001</t>
  </si>
  <si>
    <t>b25042_002</t>
  </si>
  <si>
    <t>b25042_003</t>
  </si>
  <si>
    <t>b25042_004</t>
  </si>
  <si>
    <t>b25042_005</t>
  </si>
  <si>
    <t>b25042_006</t>
  </si>
  <si>
    <t>b25042_007</t>
  </si>
  <si>
    <t>b25042_008</t>
  </si>
  <si>
    <t>b25042_009</t>
  </si>
  <si>
    <t>b25042_010</t>
  </si>
  <si>
    <t>b25042_011</t>
  </si>
  <si>
    <t>b25042_012</t>
  </si>
  <si>
    <t>b25042_013</t>
  </si>
  <si>
    <t>b25042_014</t>
  </si>
  <si>
    <t>b25042_015</t>
  </si>
  <si>
    <t>b25077_001</t>
  </si>
  <si>
    <t>b25058_001</t>
  </si>
  <si>
    <t>b25063_001</t>
  </si>
  <si>
    <t>b25063_002</t>
  </si>
  <si>
    <t>b25063_003</t>
  </si>
  <si>
    <t>b25063_004</t>
  </si>
  <si>
    <t>b25063_005</t>
  </si>
  <si>
    <t>b25063_006</t>
  </si>
  <si>
    <t>b25063_007</t>
  </si>
  <si>
    <t>b25063_008</t>
  </si>
  <si>
    <t>b25063_009</t>
  </si>
  <si>
    <t>b25063_010</t>
  </si>
  <si>
    <t>b25063_011</t>
  </si>
  <si>
    <t>b25063_012</t>
  </si>
  <si>
    <t>b25063_013</t>
  </si>
  <si>
    <t>b25063_014</t>
  </si>
  <si>
    <t>b25063_015</t>
  </si>
  <si>
    <t>b25063_016</t>
  </si>
  <si>
    <t>b25063_017</t>
  </si>
  <si>
    <t>b25063_018</t>
  </si>
  <si>
    <t>b25063_019</t>
  </si>
  <si>
    <t>b25063_020</t>
  </si>
  <si>
    <t>b25063_021</t>
  </si>
  <si>
    <t>b25063_022</t>
  </si>
  <si>
    <t>b25063_023</t>
  </si>
  <si>
    <t>b25063_024</t>
  </si>
  <si>
    <t>b25063_025</t>
  </si>
  <si>
    <t>b25063_026</t>
  </si>
  <si>
    <t>b25063_027</t>
  </si>
  <si>
    <t>b25123_001</t>
  </si>
  <si>
    <t>b25123_002</t>
  </si>
  <si>
    <t>b25123_003</t>
  </si>
  <si>
    <t>b25123_004</t>
  </si>
  <si>
    <t>b25123_005</t>
  </si>
  <si>
    <t>b25123_006</t>
  </si>
  <si>
    <t>b25123_007</t>
  </si>
  <si>
    <t>b25123_008</t>
  </si>
  <si>
    <t>b25123_009</t>
  </si>
  <si>
    <t>b25123_010</t>
  </si>
  <si>
    <t>b25123_011</t>
  </si>
  <si>
    <t>b25123_012</t>
  </si>
  <si>
    <t>b25123_013</t>
  </si>
  <si>
    <t>b25036_001</t>
  </si>
  <si>
    <t>b25036_002</t>
  </si>
  <si>
    <t>b25036_003</t>
  </si>
  <si>
    <t>b25036_004</t>
  </si>
  <si>
    <t>b25036_005</t>
  </si>
  <si>
    <t>b25036_006</t>
  </si>
  <si>
    <t>b25036_007</t>
  </si>
  <si>
    <t>b25036_008</t>
  </si>
  <si>
    <t>b25036_009</t>
  </si>
  <si>
    <t>b25036_010</t>
  </si>
  <si>
    <t>b25036_011</t>
  </si>
  <si>
    <t>b25036_012</t>
  </si>
  <si>
    <t>b25036_013</t>
  </si>
  <si>
    <t>b25036_014</t>
  </si>
  <si>
    <t>b25036_015</t>
  </si>
  <si>
    <t>b25036_016</t>
  </si>
  <si>
    <t>b25036_017</t>
  </si>
  <si>
    <t>b25036_018</t>
  </si>
  <si>
    <t>b25036_019</t>
  </si>
  <si>
    <t>b25036_020</t>
  </si>
  <si>
    <t>b25036_021</t>
  </si>
  <si>
    <t>b25036_022</t>
  </si>
  <si>
    <t>b25036_023</t>
  </si>
  <si>
    <t>b23025_003</t>
  </si>
  <si>
    <t>b23025_004</t>
  </si>
  <si>
    <t>b23001_001</t>
  </si>
  <si>
    <t>b23001_002</t>
  </si>
  <si>
    <t>b23001_003</t>
  </si>
  <si>
    <t>b23001_004</t>
  </si>
  <si>
    <t>b23001_005</t>
  </si>
  <si>
    <t>b23001_006</t>
  </si>
  <si>
    <t>b23001_007</t>
  </si>
  <si>
    <t>b23001_008</t>
  </si>
  <si>
    <t>b23001_009</t>
  </si>
  <si>
    <t>b23001_010</t>
  </si>
  <si>
    <t>b23001_011</t>
  </si>
  <si>
    <t>b23001_012</t>
  </si>
  <si>
    <t>b23001_013</t>
  </si>
  <si>
    <t>b23001_014</t>
  </si>
  <si>
    <t>b23001_015</t>
  </si>
  <si>
    <t>b23001_016</t>
  </si>
  <si>
    <t>b23001_017</t>
  </si>
  <si>
    <t>b23001_018</t>
  </si>
  <si>
    <t>b23001_019</t>
  </si>
  <si>
    <t>b23001_020</t>
  </si>
  <si>
    <t>b23001_021</t>
  </si>
  <si>
    <t>b23001_022</t>
  </si>
  <si>
    <t>b23001_023</t>
  </si>
  <si>
    <t>b23001_024</t>
  </si>
  <si>
    <t>b23001_025</t>
  </si>
  <si>
    <t>b23001_026</t>
  </si>
  <si>
    <t>b23001_027</t>
  </si>
  <si>
    <t>b23001_028</t>
  </si>
  <si>
    <t>b23001_029</t>
  </si>
  <si>
    <t>b23001_030</t>
  </si>
  <si>
    <t>b23001_031</t>
  </si>
  <si>
    <t>b23001_032</t>
  </si>
  <si>
    <t>b23001_033</t>
  </si>
  <si>
    <t>b23001_034</t>
  </si>
  <si>
    <t>b23001_035</t>
  </si>
  <si>
    <t>b23001_036</t>
  </si>
  <si>
    <t>b23001_037</t>
  </si>
  <si>
    <t>b23001_038</t>
  </si>
  <si>
    <t>b23001_039</t>
  </si>
  <si>
    <t>b23001_040</t>
  </si>
  <si>
    <t>b23001_041</t>
  </si>
  <si>
    <t>b23001_042</t>
  </si>
  <si>
    <t>b23001_043</t>
  </si>
  <si>
    <t>b23001_044</t>
  </si>
  <si>
    <t>b23001_045</t>
  </si>
  <si>
    <t>b23001_046</t>
  </si>
  <si>
    <t>b23001_047</t>
  </si>
  <si>
    <t>b23001_048</t>
  </si>
  <si>
    <t>b23001_049</t>
  </si>
  <si>
    <t>b23001_050</t>
  </si>
  <si>
    <t>b23001_051</t>
  </si>
  <si>
    <t>b23001_052</t>
  </si>
  <si>
    <t>b23001_053</t>
  </si>
  <si>
    <t>b23001_054</t>
  </si>
  <si>
    <t>b23001_055</t>
  </si>
  <si>
    <t>b23001_056</t>
  </si>
  <si>
    <t>b23001_057</t>
  </si>
  <si>
    <t>b23001_058</t>
  </si>
  <si>
    <t>b23001_059</t>
  </si>
  <si>
    <t>b23001_060</t>
  </si>
  <si>
    <t>b23001_061</t>
  </si>
  <si>
    <t>b23001_062</t>
  </si>
  <si>
    <t>b23001_063</t>
  </si>
  <si>
    <t>b23001_064</t>
  </si>
  <si>
    <t>b23001_065</t>
  </si>
  <si>
    <t>b23001_066</t>
  </si>
  <si>
    <t>b23001_067</t>
  </si>
  <si>
    <t>b23001_068</t>
  </si>
  <si>
    <t>b23001_069</t>
  </si>
  <si>
    <t>b23001_070</t>
  </si>
  <si>
    <t>b23001_071</t>
  </si>
  <si>
    <t>b23001_072</t>
  </si>
  <si>
    <t>b23001_088</t>
  </si>
  <si>
    <t>b23001_089</t>
  </si>
  <si>
    <t>b23001_090</t>
  </si>
  <si>
    <t>b23001_091</t>
  </si>
  <si>
    <t>b23001_092</t>
  </si>
  <si>
    <t>b23001_093</t>
  </si>
  <si>
    <t>b23001_094</t>
  </si>
  <si>
    <t>b23001_095</t>
  </si>
  <si>
    <t>b23001_096</t>
  </si>
  <si>
    <t>b23001_097</t>
  </si>
  <si>
    <t>b23001_098</t>
  </si>
  <si>
    <t>b23001_099</t>
  </si>
  <si>
    <t>b23001_100</t>
  </si>
  <si>
    <t>b23001_101</t>
  </si>
  <si>
    <t>b23001_102</t>
  </si>
  <si>
    <t>b23001_103</t>
  </si>
  <si>
    <t>b23001_104</t>
  </si>
  <si>
    <t>b23001_105</t>
  </si>
  <si>
    <t>b23001_106</t>
  </si>
  <si>
    <t>b23001_107</t>
  </si>
  <si>
    <t>b23001_108</t>
  </si>
  <si>
    <t>b23001_109</t>
  </si>
  <si>
    <t>b23001_110</t>
  </si>
  <si>
    <t>b23001_111</t>
  </si>
  <si>
    <t>b23001_112</t>
  </si>
  <si>
    <t>b23001_113</t>
  </si>
  <si>
    <t>b23001_114</t>
  </si>
  <si>
    <t>b23001_115</t>
  </si>
  <si>
    <t>b23001_116</t>
  </si>
  <si>
    <t>b23001_117</t>
  </si>
  <si>
    <t>b23001_118</t>
  </si>
  <si>
    <t>b23001_119</t>
  </si>
  <si>
    <t>b23001_120</t>
  </si>
  <si>
    <t>b23001_121</t>
  </si>
  <si>
    <t>b23001_122</t>
  </si>
  <si>
    <t>b23001_123</t>
  </si>
  <si>
    <t>b23001_124</t>
  </si>
  <si>
    <t>b23001_125</t>
  </si>
  <si>
    <t>b23001_126</t>
  </si>
  <si>
    <t>b23001_127</t>
  </si>
  <si>
    <t>b23001_128</t>
  </si>
  <si>
    <t>b23001_129</t>
  </si>
  <si>
    <t>b23001_130</t>
  </si>
  <si>
    <t>b23001_131</t>
  </si>
  <si>
    <t>b23001_132</t>
  </si>
  <si>
    <t>b23001_133</t>
  </si>
  <si>
    <t>b23001_134</t>
  </si>
  <si>
    <t>b23001_135</t>
  </si>
  <si>
    <t>b23001_136</t>
  </si>
  <si>
    <t>b23001_137</t>
  </si>
  <si>
    <t>b23001_138</t>
  </si>
  <si>
    <t>b23001_139</t>
  </si>
  <si>
    <t>b23001_140</t>
  </si>
  <si>
    <t>b23001_141</t>
  </si>
  <si>
    <t>b23001_142</t>
  </si>
  <si>
    <t>b23001_143</t>
  </si>
  <si>
    <t>b23001_144</t>
  </si>
  <si>
    <t>b23001_145</t>
  </si>
  <si>
    <t>b23001_146</t>
  </si>
  <si>
    <t>b23001_147</t>
  </si>
  <si>
    <t>b23001_148</t>
  </si>
  <si>
    <t>b23001_149</t>
  </si>
  <si>
    <t>b23001_150</t>
  </si>
  <si>
    <t>b23001_151</t>
  </si>
  <si>
    <t>b23001_152</t>
  </si>
  <si>
    <t>b23001_153</t>
  </si>
  <si>
    <t>b23001_154</t>
  </si>
  <si>
    <t>b23001_155</t>
  </si>
  <si>
    <t>b23001_156</t>
  </si>
  <si>
    <t>b23001_157</t>
  </si>
  <si>
    <t>b23001_158</t>
  </si>
  <si>
    <t>label</t>
  </si>
  <si>
    <t>concept</t>
  </si>
  <si>
    <t>type</t>
  </si>
  <si>
    <t>concept_id</t>
  </si>
  <si>
    <t>B01003. TOTAL POPULATION</t>
  </si>
  <si>
    <t>int</t>
  </si>
  <si>
    <t>B01003</t>
  </si>
  <si>
    <t>Median household income in the past 12 months (in 2016 inflation-adjusted dollars)</t>
  </si>
  <si>
    <t>B19013. MEDIAN HOUSEHOLD INCOME IN THE PAST 12 MONTHS (IN 2016 INFLATION-ADJUSTED DOLLARS)</t>
  </si>
  <si>
    <t>B19013</t>
  </si>
  <si>
    <t>B23001. SEX BY AGE BY EMPLOYMENT STATUS FOR THE POPULATION 16 YEARS AND OVER</t>
  </si>
  <si>
    <t>B23001</t>
  </si>
  <si>
    <t>Total: Male</t>
  </si>
  <si>
    <t>Total: Male: 16 to 19 years</t>
  </si>
  <si>
    <t>Total: Male: 16 to 19 years: In labor force</t>
  </si>
  <si>
    <t>Total: Male: 16 to 19 years: In labor force: In Armed Forces</t>
  </si>
  <si>
    <t>Total: Male: 16 to 19 years: In labor force: Civilian</t>
  </si>
  <si>
    <t>Total: Male: 16 to 19 years: In labor force: Civilian: Employed</t>
  </si>
  <si>
    <t>Total: Male: 16 to 19 years: In labor force: Civilian: Unemployed</t>
  </si>
  <si>
    <t>Total: Male: 16 to 19 years: Not in labor force</t>
  </si>
  <si>
    <t>Total: Male: 20 and 21 years</t>
  </si>
  <si>
    <t>Total: Male: 20 and 21 years: In labor force</t>
  </si>
  <si>
    <t>Total: Male: 20 and 21 years: In labor force: In Armed Forces</t>
  </si>
  <si>
    <t>Total: Male: 20 and 21 years: In labor force: Civilian</t>
  </si>
  <si>
    <t>Total: Male: 20 and 21 years: In labor force: Civilian: Employed</t>
  </si>
  <si>
    <t>Total: Male: 20 and 21 years: In labor force: Civilian: Unemployed</t>
  </si>
  <si>
    <t>Total: Male: 20 and 21 years: Not in labor force</t>
  </si>
  <si>
    <t>Total: Male: 22 to 24 years</t>
  </si>
  <si>
    <t>Total: Male: 22 to 24 years: In labor force</t>
  </si>
  <si>
    <t>Total: Male: 22 to 24 years: In labor force: In Armed Forces</t>
  </si>
  <si>
    <t>Total: Male: 22 to 24 years: In labor force: Civilian</t>
  </si>
  <si>
    <t>Total: Male: 22 to 24 years: In labor force: Civilian: Employed</t>
  </si>
  <si>
    <t>Total: Male: 22 to 24 years: In labor force: Civilian: Unemployed</t>
  </si>
  <si>
    <t>Total: Male: 22 to 24 years: Not in labor force</t>
  </si>
  <si>
    <t>Total: Male: 25 to 29 years</t>
  </si>
  <si>
    <t>Total: Male: 25 to 29 years: In labor force</t>
  </si>
  <si>
    <t>Total: Male: 25 to 29 years: In labor force: In Armed Forces</t>
  </si>
  <si>
    <t>Total: Male: 25 to 29 years: In labor force: Civilian</t>
  </si>
  <si>
    <t>Total: Male: 25 to 29 years: In labor force: Civilian: Employed</t>
  </si>
  <si>
    <t>Total: Male: 25 to 29 years: In labor force: Civilian: Unemployed</t>
  </si>
  <si>
    <t>Total: Male: 25 to 29 years: Not in labor force</t>
  </si>
  <si>
    <t>Total: Male: 30 to 34 years</t>
  </si>
  <si>
    <t>Total: Male: 30 to 34 years: In labor force</t>
  </si>
  <si>
    <t>Total: Male: 30 to 34 years: In labor force: In Armed Forces</t>
  </si>
  <si>
    <t>Total: Male: 30 to 34 years: In labor force: Civilian</t>
  </si>
  <si>
    <t>Total: Male: 30 to 34 years: In labor force: Civilian: Employed</t>
  </si>
  <si>
    <t>Total: Male: 30 to 34 years: In labor force: Civilian: Unemployed</t>
  </si>
  <si>
    <t>Total: Male: 30 to 34 years: Not in labor force</t>
  </si>
  <si>
    <t>Total: Male: 35 to 44 years</t>
  </si>
  <si>
    <t>Total: Male: 35 to 44 years: In labor force</t>
  </si>
  <si>
    <t>Total: Male: 35 to 44 years: In labor force: In Armed Forces</t>
  </si>
  <si>
    <t>Total: Male: 35 to 44 years: In labor force: Civilian</t>
  </si>
  <si>
    <t>Total: Male: 35 to 44 years: In labor force: Civilian: Employed</t>
  </si>
  <si>
    <t>Total: Male: 35 to 44 years: In labor force: Civilian: Unemployed</t>
  </si>
  <si>
    <t>Total: Male: 35 to 44 years: Not in labor force</t>
  </si>
  <si>
    <t>Total: Male: 45 to 54 years</t>
  </si>
  <si>
    <t>Total: Male: 45 to 54 years: In labor force</t>
  </si>
  <si>
    <t>Total: Male: 45 to 54 years: In labor force: In Armed Forces</t>
  </si>
  <si>
    <t>Total: Male: 45 to 54 years: In labor force: Civilian</t>
  </si>
  <si>
    <t>Total: Male: 45 to 54 years: In labor force: Civilian: Employed</t>
  </si>
  <si>
    <t>Total: Male: 45 to 54 years: In labor force: Civilian: Unemployed</t>
  </si>
  <si>
    <t>Total: Male: 45 to 54 years: Not in labor force</t>
  </si>
  <si>
    <t>Total: Male: 55 to 59 years</t>
  </si>
  <si>
    <t>Total: Male: 55 to 59 years: In labor force</t>
  </si>
  <si>
    <t>Total: Male: 55 to 59 years: In labor force: In Armed Forces</t>
  </si>
  <si>
    <t>Total: Male: 55 to 59 years: In labor force: Civilian</t>
  </si>
  <si>
    <t>Total: Male: 55 to 59 years: In labor force: Civilian: Employed</t>
  </si>
  <si>
    <t>Total: Male: 55 to 59 years: In labor force: Civilian: Unemployed</t>
  </si>
  <si>
    <t>Total: Male: 55 to 59 years: Not in labor force</t>
  </si>
  <si>
    <t>Total: Male: 60 and 61 years</t>
  </si>
  <si>
    <t>Total: Male: 60 and 61 years: In labor force</t>
  </si>
  <si>
    <t>Total: Male: 60 and 61 years: In labor force: In Armed Forces</t>
  </si>
  <si>
    <t>Total: Male: 60 and 61 years: In labor force: Civilian</t>
  </si>
  <si>
    <t>Total: Male: 60 and 61 years: In labor force: Civilian: Employed</t>
  </si>
  <si>
    <t>Total: Male: 60 and 61 years: In labor force: Civilian: Unemployed</t>
  </si>
  <si>
    <t>Total: Male: 60 and 61 years: Not in labor force</t>
  </si>
  <si>
    <t>Total: Male: 62 to 64 years</t>
  </si>
  <si>
    <t>Total: Male: 62 to 64 years: In labor force</t>
  </si>
  <si>
    <t>Total: Male: 62 to 64 years: In labor force: In Armed Forces</t>
  </si>
  <si>
    <t>Total: Male: 62 to 64 years: In labor force: Civilian</t>
  </si>
  <si>
    <t>Total: Male: 62 to 64 years: In labor force: Civilian: Employed</t>
  </si>
  <si>
    <t>Total: Male: 62 to 64 years: In labor force: Civilian: Unemployed</t>
  </si>
  <si>
    <t>Total: Male: 62 to 64 years: Not in labor force</t>
  </si>
  <si>
    <t>Total: Female</t>
  </si>
  <si>
    <t>Total: Female: 16 to 19 years</t>
  </si>
  <si>
    <t>Total: Female: 16 to 19 years: In labor force</t>
  </si>
  <si>
    <t>Total: Female: 16 to 19 years: In labor force: In Armed Forces</t>
  </si>
  <si>
    <t>Total: Female: 16 to 19 years: In labor force: Civilian</t>
  </si>
  <si>
    <t>Total: Female: 16 to 19 years: In labor force: Civilian: Employed</t>
  </si>
  <si>
    <t>Total: Female: 16 to 19 years: In labor force: Civilian: Unemployed</t>
  </si>
  <si>
    <t>Total: Female: 16 to 19 years: Not in labor force</t>
  </si>
  <si>
    <t>Total: Female: 20 and 21 years</t>
  </si>
  <si>
    <t>Total: Female: 20 and 21 years: In labor force</t>
  </si>
  <si>
    <t>Total: Female: 20 and 21 years: In labor force: In Armed Forces</t>
  </si>
  <si>
    <t>Total: Female: 20 and 21 years: In labor force: Civilian</t>
  </si>
  <si>
    <t>Total: Female: 20 and 21 years: In labor force: Civilian: Employed</t>
  </si>
  <si>
    <t>Total: Female: 20 and 21 years: In labor force: Civilian: Unemployed</t>
  </si>
  <si>
    <t>Total: Female: 20 and 21 years: Not in labor force</t>
  </si>
  <si>
    <t>Total: Female: 22 to 24 years</t>
  </si>
  <si>
    <t>Total: Female: 22 to 24 years: In labor force</t>
  </si>
  <si>
    <t>Total: Female: 22 to 24 years: In labor force: In Armed Forces</t>
  </si>
  <si>
    <t>Total: Female: 22 to 24 years: In labor force: Civilian</t>
  </si>
  <si>
    <t>Total: Female: 22 to 24 years: In labor force: Civilian: Employed</t>
  </si>
  <si>
    <t>Total: Female: 22 to 24 years: In labor force: Civilian: Unemployed</t>
  </si>
  <si>
    <t>Total: Female: 22 to 24 years: Not in labor force</t>
  </si>
  <si>
    <t>Total: Female: 25 to 29 years</t>
  </si>
  <si>
    <t>Total: Female: 25 to 29 years: In labor force</t>
  </si>
  <si>
    <t>Total: Female: 25 to 29 years: In labor force: In Armed Forces</t>
  </si>
  <si>
    <t>Total: Female: 25 to 29 years: In labor force: Civilian</t>
  </si>
  <si>
    <t>Total: Female: 25 to 29 years: In labor force: Civilian: Employed</t>
  </si>
  <si>
    <t>Total: Female: 25 to 29 years: In labor force: Civilian: Unemployed</t>
  </si>
  <si>
    <t>Total: Female: 25 to 29 years: Not in labor force</t>
  </si>
  <si>
    <t>Total: Female: 30 to 34 years</t>
  </si>
  <si>
    <t>Total: Female: 30 to 34 years: In labor force</t>
  </si>
  <si>
    <t>Total: Female: 30 to 34 years: In labor force: In Armed Forces</t>
  </si>
  <si>
    <t>Total: Female: 30 to 34 years: In labor force: Civilian</t>
  </si>
  <si>
    <t>Total: Female: 30 to 34 years: In labor force: Civilian: Employed</t>
  </si>
  <si>
    <t>Total: Female: 30 to 34 years: In labor force: Civilian: Unemployed</t>
  </si>
  <si>
    <t>Total: Female: 30 to 34 years: Not in labor force</t>
  </si>
  <si>
    <t>Total: Female: 35 to 44 years</t>
  </si>
  <si>
    <t>Total: Female: 35 to 44 years: In labor force</t>
  </si>
  <si>
    <t>Total: Female: 35 to 44 years: In labor force: In Armed Forces</t>
  </si>
  <si>
    <t>Total: Female: 35 to 44 years: In labor force: Civilian</t>
  </si>
  <si>
    <t>Total: Female: 35 to 44 years: In labor force: Civilian: Employed</t>
  </si>
  <si>
    <t>Total: Female: 35 to 44 years: In labor force: Civilian: Unemployed</t>
  </si>
  <si>
    <t>Total: Female: 35 to 44 years: Not in labor force</t>
  </si>
  <si>
    <t>Total: Female: 45 to 54 years</t>
  </si>
  <si>
    <t>Total: Female: 45 to 54 years: In labor force</t>
  </si>
  <si>
    <t>Total: Female: 45 to 54 years: In labor force: In Armed Forces</t>
  </si>
  <si>
    <t>Total: Female: 45 to 54 years: In labor force: Civilian</t>
  </si>
  <si>
    <t>Total: Female: 45 to 54 years: In labor force: Civilian: Employed</t>
  </si>
  <si>
    <t>Total: Female: 45 to 54 years: In labor force: Civilian: Unemployed</t>
  </si>
  <si>
    <t>Total: Female: 45 to 54 years: Not in labor force</t>
  </si>
  <si>
    <t>Total: Female: 55 to 59 years</t>
  </si>
  <si>
    <t>Total: Female: 55 to 59 years: In labor force</t>
  </si>
  <si>
    <t>Total: Female: 55 to 59 years: In labor force: In Armed Forces</t>
  </si>
  <si>
    <t>Total: Female: 55 to 59 years: In labor force: Civilian</t>
  </si>
  <si>
    <t>Total: Female: 55 to 59 years: In labor force: Civilian: Employed</t>
  </si>
  <si>
    <t>Total: Female: 55 to 59 years: In labor force: Civilian: Unemployed</t>
  </si>
  <si>
    <t>Total: Female: 55 to 59 years: Not in labor force</t>
  </si>
  <si>
    <t>Total: Female: 60 and 61 years</t>
  </si>
  <si>
    <t>Total: Female: 60 and 61 years: In labor force</t>
  </si>
  <si>
    <t>Total: Female: 60 and 61 years: In labor force: In Armed Forces</t>
  </si>
  <si>
    <t>Total: Female: 60 and 61 years: In labor force: Civilian</t>
  </si>
  <si>
    <t>Total: Female: 60 and 61 years: In labor force: Civilian: Employed</t>
  </si>
  <si>
    <t>Total: Female: 60 and 61 years: In labor force: Civilian: Unemployed</t>
  </si>
  <si>
    <t>Total: Female: 60 and 61 years: Not in labor force</t>
  </si>
  <si>
    <t>Total: Female: 62 to 64 years</t>
  </si>
  <si>
    <t>Total: Female: 62 to 64 years: In labor force</t>
  </si>
  <si>
    <t>Total: Female: 62 to 64 years: In labor force: In Armed Forces</t>
  </si>
  <si>
    <t>Total: Female: 62 to 64 years: In labor force: Civilian</t>
  </si>
  <si>
    <t>Total: Female: 62 to 64 years: In labor force: Civilian: Employed</t>
  </si>
  <si>
    <t>Total: Female: 62 to 64 years: In labor force: Civilian: Unemployed</t>
  </si>
  <si>
    <t>Total: Female: 62 to 64 years: Not in labor force</t>
  </si>
  <si>
    <t>Total: In labor force: Civilian labor force</t>
  </si>
  <si>
    <t>B23025. EMPLOYMENT STATUS FOR THE POPULATION 16 YEARS AND OVER</t>
  </si>
  <si>
    <t>B23025</t>
  </si>
  <si>
    <t>Total: In labor force: Civilian labor force: Employed</t>
  </si>
  <si>
    <t>B25003. TENURE</t>
  </si>
  <si>
    <t>B25003</t>
  </si>
  <si>
    <t>B25024. UNITS IN STRUCTURE</t>
  </si>
  <si>
    <t>B25024</t>
  </si>
  <si>
    <t>Total: 1, detached</t>
  </si>
  <si>
    <t>Total: 1, attached</t>
  </si>
  <si>
    <t>Total: 2</t>
  </si>
  <si>
    <t>Total: 3 or 4</t>
  </si>
  <si>
    <t>Total: 5 to 9</t>
  </si>
  <si>
    <t>Total: 10 to 19</t>
  </si>
  <si>
    <t>Total: 20 to 49</t>
  </si>
  <si>
    <t>Total: 50 or more</t>
  </si>
  <si>
    <t>Total: Mobile home</t>
  </si>
  <si>
    <t>Total: Boat, RV, van, etc.</t>
  </si>
  <si>
    <t>B25036. TENURE BY YEAR STRUCTURE BUILT</t>
  </si>
  <si>
    <t>B25036</t>
  </si>
  <si>
    <t>Total: Owner occupied</t>
  </si>
  <si>
    <t>Total: Owner occupied: Built 2014 or later</t>
  </si>
  <si>
    <t>Total: Owner occupied: Built 2010 to 2013</t>
  </si>
  <si>
    <t>Total: Owner occupied: Built 2000 to 2009</t>
  </si>
  <si>
    <t>Total: Owner occupied: Built 1990 to 1999</t>
  </si>
  <si>
    <t>Total: Owner occupied: Built 1980 to 1989</t>
  </si>
  <si>
    <t>Total: Owner occupied: Built 1970 to 1979</t>
  </si>
  <si>
    <t>Total: Owner occupied: Built 1960 to 1969</t>
  </si>
  <si>
    <t>Total: Owner occupied: Built 1950 to 1959</t>
  </si>
  <si>
    <t>Total: Owner occupied: Built 1940 to 1949</t>
  </si>
  <si>
    <t>Total: Owner occupied: Built 1939 or earlier</t>
  </si>
  <si>
    <t>Total: Renter occupied</t>
  </si>
  <si>
    <t>Total: Renter occupied: Built 2014 or later</t>
  </si>
  <si>
    <t>Total: Renter occupied: Built 2010 to 2013</t>
  </si>
  <si>
    <t>Total: Renter occupied: Built 2000 to 2009</t>
  </si>
  <si>
    <t>Total: Renter occupied: Built 1990 to 1999</t>
  </si>
  <si>
    <t>Total: Renter occupied: Built 1980 to 1989</t>
  </si>
  <si>
    <t>Total: Renter occupied: Built 1970 to 1979</t>
  </si>
  <si>
    <t>Total: Renter occupied: Built 1960 to 1969</t>
  </si>
  <si>
    <t>Total: Renter occupied: Built 1950 to 1959</t>
  </si>
  <si>
    <t>Total: Renter occupied: Built 1940 to 1949</t>
  </si>
  <si>
    <t>Total: Renter occupied: Built 1939 or earlier</t>
  </si>
  <si>
    <t>B25042. TENURE BY BEDROOMS</t>
  </si>
  <si>
    <t>B25042</t>
  </si>
  <si>
    <t>Total: Owner occupied: No bedroom</t>
  </si>
  <si>
    <t>Total: Owner occupied: 1 bedroom</t>
  </si>
  <si>
    <t>Total: Owner occupied: 2 bedrooms</t>
  </si>
  <si>
    <t>Total: Owner occupied: 3 bedrooms</t>
  </si>
  <si>
    <t>Total: Owner occupied: 4 bedrooms</t>
  </si>
  <si>
    <t>Total: Owner occupied: 5 or more bedrooms</t>
  </si>
  <si>
    <t>Total: Renter occupied: No bedroom</t>
  </si>
  <si>
    <t>Total: Renter occupied: 1 bedroom</t>
  </si>
  <si>
    <t>Total: Renter occupied: 2 bedrooms</t>
  </si>
  <si>
    <t>Total: Renter occupied: 3 bedrooms</t>
  </si>
  <si>
    <t>Total: Renter occupied: 4 bedrooms</t>
  </si>
  <si>
    <t>Total: Renter occupied: 5 or more bedrooms</t>
  </si>
  <si>
    <t>Median contract rent</t>
  </si>
  <si>
    <t>B25058. MEDIAN CONTRACT RENT (DOLLARS)</t>
  </si>
  <si>
    <t>B25058</t>
  </si>
  <si>
    <t>B25063. GROSS RENT</t>
  </si>
  <si>
    <t>B25063</t>
  </si>
  <si>
    <t>Total: With cash rent</t>
  </si>
  <si>
    <t>Total: With cash rent: Less than $100</t>
  </si>
  <si>
    <t>Total: With cash rent: $100 to $149</t>
  </si>
  <si>
    <t>Total: With cash rent: $150 to $199</t>
  </si>
  <si>
    <t>Total: With cash rent: $200 to $249</t>
  </si>
  <si>
    <t>Total: With cash rent: $250 to $299</t>
  </si>
  <si>
    <t>Total: With cash rent: $300 to $349</t>
  </si>
  <si>
    <t>Total: With cash rent: $350 to $399</t>
  </si>
  <si>
    <t>Total: With cash rent: $400 to $449</t>
  </si>
  <si>
    <t>Total: With cash rent: $450 to $499</t>
  </si>
  <si>
    <t>Total: With cash rent: $500 to $549</t>
  </si>
  <si>
    <t>Total: With cash rent: $550 to $599</t>
  </si>
  <si>
    <t>Total: With cash rent: $600 to $649</t>
  </si>
  <si>
    <t>Total: With cash rent: $650 to $699</t>
  </si>
  <si>
    <t>Total: With cash rent: $700 to $749</t>
  </si>
  <si>
    <t>Total: With cash rent: $750 to $799</t>
  </si>
  <si>
    <t>Total: With cash rent: $800 to $899</t>
  </si>
  <si>
    <t>Total: With cash rent: $900 to $999</t>
  </si>
  <si>
    <t>Total: With cash rent: $1,000 to $1,249</t>
  </si>
  <si>
    <t>Total: With cash rent: $1,250 to $1,499</t>
  </si>
  <si>
    <t>Total: With cash rent: $1,500 to $1,999</t>
  </si>
  <si>
    <t>Total: With cash rent: $2,000 to $2,499</t>
  </si>
  <si>
    <t>Total: With cash rent: $2,500 to $2,999</t>
  </si>
  <si>
    <t>Total: With cash rent: $3,000 to $3,499</t>
  </si>
  <si>
    <t>Total: With cash rent: $3,500 or more</t>
  </si>
  <si>
    <t>Total: No cash rent</t>
  </si>
  <si>
    <t>Median value (dollars)</t>
  </si>
  <si>
    <t>B25077. MEDIAN VALUE (DOLLARS)</t>
  </si>
  <si>
    <t>B25077</t>
  </si>
  <si>
    <t>B25123. TENURE BY SELECTED PHYSICAL AND FINANCIAL CONDITIONS</t>
  </si>
  <si>
    <t>B25123</t>
  </si>
  <si>
    <t>Total: Owner occupied: With one selected condition</t>
  </si>
  <si>
    <t>Total: Owner occupied: With two selected conditions</t>
  </si>
  <si>
    <t>Total: Owner occupied: With three selected conditions</t>
  </si>
  <si>
    <t>Total: Owner occupied: With four selected conditions</t>
  </si>
  <si>
    <t>Total: Owner occupied: No selected conditions</t>
  </si>
  <si>
    <t>Total: Renter occupied: With one selected condition</t>
  </si>
  <si>
    <t>Total: Renter occupied: With two selected conditions</t>
  </si>
  <si>
    <t>Total: Renter occupied: With three selected conditions</t>
  </si>
  <si>
    <t>Total: Renter occupied: With four selected conditions</t>
  </si>
  <si>
    <t>Total: Renter occupied: No selected conditions</t>
  </si>
  <si>
    <t>column</t>
  </si>
  <si>
    <t>c24050_015</t>
  </si>
  <si>
    <t>c24050_029</t>
  </si>
  <si>
    <t>c24050_043</t>
  </si>
  <si>
    <t>c24050_057</t>
  </si>
  <si>
    <t>c24050_071</t>
  </si>
  <si>
    <t>Total: Management, business, science, and arts occupations</t>
  </si>
  <si>
    <t>Total: Service occupations</t>
  </si>
  <si>
    <t>Total: Sales and office occupations</t>
  </si>
  <si>
    <t>Total: Natural resources, construction, and maintenance occupations</t>
  </si>
  <si>
    <t>Total: Production, transportation, and material moving occupations</t>
  </si>
  <si>
    <t>C24050. INDUSTRY BY OCCUPATION FOR THE CIVILIAN EMPLOYED POPULATION 16 YEARS AND OVER</t>
  </si>
  <si>
    <t>C24050</t>
  </si>
  <si>
    <t>b08303_001</t>
  </si>
  <si>
    <t>b08303_002</t>
  </si>
  <si>
    <t>b08303_003</t>
  </si>
  <si>
    <t>b08303_004</t>
  </si>
  <si>
    <t>b08303_005</t>
  </si>
  <si>
    <t>b08303_006</t>
  </si>
  <si>
    <t>b08303_007</t>
  </si>
  <si>
    <t>b08303_008</t>
  </si>
  <si>
    <t>b08303_009</t>
  </si>
  <si>
    <t>b08303_010</t>
  </si>
  <si>
    <t>b08303_011</t>
  </si>
  <si>
    <t>b08303_012</t>
  </si>
  <si>
    <t>b08303_013</t>
  </si>
  <si>
    <t>B08303. TRAVEL TIME TO WORK</t>
  </si>
  <si>
    <t>B08303</t>
  </si>
  <si>
    <t>Total: Less than 5 minutes</t>
  </si>
  <si>
    <t>Total: 5 to 9 minutes</t>
  </si>
  <si>
    <t>Total: 10 to 14 minutes</t>
  </si>
  <si>
    <t>Total: 15 to 19 minutes</t>
  </si>
  <si>
    <t>Total: 20 to 24 minutes</t>
  </si>
  <si>
    <t>Total: 25 to 29 minutes</t>
  </si>
  <si>
    <t>Total: 30 to 34 minutes</t>
  </si>
  <si>
    <t>Total: 35 to 39 minutes</t>
  </si>
  <si>
    <t>Total: 40 to 44 minutes</t>
  </si>
  <si>
    <t>Total: 45 to 59 minutes</t>
  </si>
  <si>
    <t>Total: 60 to 89 minutes</t>
  </si>
  <si>
    <t>Total: 90 or more minutes</t>
  </si>
  <si>
    <t>b23006_001</t>
  </si>
  <si>
    <t>b23006_002</t>
  </si>
  <si>
    <t>b23006_003</t>
  </si>
  <si>
    <t>b23006_004</t>
  </si>
  <si>
    <t>b23006_005</t>
  </si>
  <si>
    <t>b23006_006</t>
  </si>
  <si>
    <t>b23006_007</t>
  </si>
  <si>
    <t>b23006_008</t>
  </si>
  <si>
    <t>b23006_009</t>
  </si>
  <si>
    <t>b23006_010</t>
  </si>
  <si>
    <t>b23006_011</t>
  </si>
  <si>
    <t>b23006_012</t>
  </si>
  <si>
    <t>b23006_013</t>
  </si>
  <si>
    <t>b23006_014</t>
  </si>
  <si>
    <t>b23006_015</t>
  </si>
  <si>
    <t>b23006_016</t>
  </si>
  <si>
    <t>b23006_017</t>
  </si>
  <si>
    <t>b23006_018</t>
  </si>
  <si>
    <t>b23006_019</t>
  </si>
  <si>
    <t>b23006_020</t>
  </si>
  <si>
    <t>b23006_021</t>
  </si>
  <si>
    <t>b23006_022</t>
  </si>
  <si>
    <t>b23006_023</t>
  </si>
  <si>
    <t>b23006_024</t>
  </si>
  <si>
    <t>b23006_025</t>
  </si>
  <si>
    <t>b23006_026</t>
  </si>
  <si>
    <t>b23006_027</t>
  </si>
  <si>
    <t>b23006_028</t>
  </si>
  <si>
    <t>b23006_029</t>
  </si>
  <si>
    <t>b15001_001</t>
  </si>
  <si>
    <t>b15001_002</t>
  </si>
  <si>
    <t>b15001_003</t>
  </si>
  <si>
    <t>b15001_004</t>
  </si>
  <si>
    <t>b15001_005</t>
  </si>
  <si>
    <t>b15001_006</t>
  </si>
  <si>
    <t>b15001_007</t>
  </si>
  <si>
    <t>b15001_008</t>
  </si>
  <si>
    <t>b15001_009</t>
  </si>
  <si>
    <t>b15001_010</t>
  </si>
  <si>
    <t>b15001_011</t>
  </si>
  <si>
    <t>b15001_012</t>
  </si>
  <si>
    <t>b15001_013</t>
  </si>
  <si>
    <t>b15001_014</t>
  </si>
  <si>
    <t>b15001_015</t>
  </si>
  <si>
    <t>b15001_016</t>
  </si>
  <si>
    <t>b15001_017</t>
  </si>
  <si>
    <t>b15001_018</t>
  </si>
  <si>
    <t>b15001_019</t>
  </si>
  <si>
    <t>b15001_020</t>
  </si>
  <si>
    <t>b15001_021</t>
  </si>
  <si>
    <t>b15001_022</t>
  </si>
  <si>
    <t>b15001_023</t>
  </si>
  <si>
    <t>b15001_024</t>
  </si>
  <si>
    <t>b15001_025</t>
  </si>
  <si>
    <t>b15001_026</t>
  </si>
  <si>
    <t>b15001_027</t>
  </si>
  <si>
    <t>b15001_028</t>
  </si>
  <si>
    <t>b15001_029</t>
  </si>
  <si>
    <t>b15001_030</t>
  </si>
  <si>
    <t>b15001_031</t>
  </si>
  <si>
    <t>b15001_032</t>
  </si>
  <si>
    <t>b15001_033</t>
  </si>
  <si>
    <t>b15001_034</t>
  </si>
  <si>
    <t>b15001_035</t>
  </si>
  <si>
    <t>b15001_036</t>
  </si>
  <si>
    <t>b15001_037</t>
  </si>
  <si>
    <t>b15001_038</t>
  </si>
  <si>
    <t>b15001_039</t>
  </si>
  <si>
    <t>b15001_040</t>
  </si>
  <si>
    <t>b15001_041</t>
  </si>
  <si>
    <t>b15001_042</t>
  </si>
  <si>
    <t>b15001_043</t>
  </si>
  <si>
    <t>b15001_044</t>
  </si>
  <si>
    <t>b15001_045</t>
  </si>
  <si>
    <t>b15001_046</t>
  </si>
  <si>
    <t>b15001_047</t>
  </si>
  <si>
    <t>b15001_048</t>
  </si>
  <si>
    <t>b15001_049</t>
  </si>
  <si>
    <t>b15001_050</t>
  </si>
  <si>
    <t>b15001_051</t>
  </si>
  <si>
    <t>b15001_052</t>
  </si>
  <si>
    <t>b15001_053</t>
  </si>
  <si>
    <t>b15001_054</t>
  </si>
  <si>
    <t>b15001_055</t>
  </si>
  <si>
    <t>b15001_056</t>
  </si>
  <si>
    <t>b15001_057</t>
  </si>
  <si>
    <t>b15001_058</t>
  </si>
  <si>
    <t>b15001_059</t>
  </si>
  <si>
    <t>b15001_060</t>
  </si>
  <si>
    <t>b15001_061</t>
  </si>
  <si>
    <t>b15001_062</t>
  </si>
  <si>
    <t>b15001_063</t>
  </si>
  <si>
    <t>b15001_064</t>
  </si>
  <si>
    <t>b15001_065</t>
  </si>
  <si>
    <t>b15001_066</t>
  </si>
  <si>
    <t>b15001_067</t>
  </si>
  <si>
    <t>b15001_068</t>
  </si>
  <si>
    <t>b15001_069</t>
  </si>
  <si>
    <t>b15001_070</t>
  </si>
  <si>
    <t>b15001_071</t>
  </si>
  <si>
    <t>b15001_072</t>
  </si>
  <si>
    <t>b15001_073</t>
  </si>
  <si>
    <t>b15001_074</t>
  </si>
  <si>
    <t>b15001_075</t>
  </si>
  <si>
    <t>b15001_076</t>
  </si>
  <si>
    <t>b15001_077</t>
  </si>
  <si>
    <t>b15001_078</t>
  </si>
  <si>
    <t>b15001_079</t>
  </si>
  <si>
    <t>b15001_080</t>
  </si>
  <si>
    <t>b15001_081</t>
  </si>
  <si>
    <t>b15001_082</t>
  </si>
  <si>
    <t>b15001_083</t>
  </si>
  <si>
    <t>B23006. EDUCATIONAL ATTAINMENT BY EMPLOYMENT STATUS FOR THE POPULATION 25 TO 64 YEARS</t>
  </si>
  <si>
    <t>B23006</t>
  </si>
  <si>
    <t>Total: Less than high school graduate</t>
  </si>
  <si>
    <t>Total: Less than high school graduate: In labor force</t>
  </si>
  <si>
    <t>Total: Less than high school graduate: In labor force: In Armed Forces</t>
  </si>
  <si>
    <t>Total: Less than high school graduate: In labor force: Civilian</t>
  </si>
  <si>
    <t>Total: Less than high school graduate: In labor force: Civilian: Employed</t>
  </si>
  <si>
    <t>Total: Less than high school graduate: In labor force: Civilian: Unemployed</t>
  </si>
  <si>
    <t>Total: Less than high school graduate: Not in labor force</t>
  </si>
  <si>
    <t>Total: High school graduate (includes equivalency)</t>
  </si>
  <si>
    <t>Total: High school graduate (includes equivalency): In labor force</t>
  </si>
  <si>
    <t>Total: High school graduate (includes equivalency): In labor force: In Armed Forces</t>
  </si>
  <si>
    <t>Total: High school graduate (includes equivalency): In labor force: Civilian</t>
  </si>
  <si>
    <t>Total: High school graduate (includes equivalency): In labor force: Civilian: Employed</t>
  </si>
  <si>
    <t>Total: High school graduate (includes equivalency): In labor force: Civilian: Unemployed</t>
  </si>
  <si>
    <t>Total: High school graduate (includes equivalency): Not in labor force</t>
  </si>
  <si>
    <t>Total: Some college or associate's degree</t>
  </si>
  <si>
    <t>Total: Some college or associate's degree: In labor force</t>
  </si>
  <si>
    <t>Total: Some college or associate's degree: In labor force: In Armed Forces</t>
  </si>
  <si>
    <t>Total: Some college or associate's degree: In labor force: Civilian</t>
  </si>
  <si>
    <t>Total: Some college or associate's degree: In labor force: Civilian: Employed</t>
  </si>
  <si>
    <t>Total: Some college or associate's degree: In labor force: Civilian: Unemployed</t>
  </si>
  <si>
    <t>Total: Some college or associate's degree: Not in labor force</t>
  </si>
  <si>
    <t>Total: Bachelor's degree or higher</t>
  </si>
  <si>
    <t>Total: Bachelor's degree or higher: In labor force</t>
  </si>
  <si>
    <t>Total: Bachelor's degree or higher: In labor force: In Armed Forces</t>
  </si>
  <si>
    <t>Total: Bachelor's degree or higher: In labor force: Civilian</t>
  </si>
  <si>
    <t>Total: Bachelor's degree or higher: In labor force: Civilian: Employed</t>
  </si>
  <si>
    <t>Total: Bachelor's degree or higher: In labor force: Civilian: Unemployed</t>
  </si>
  <si>
    <t>Total: Bachelor's degree or higher: Not in labor force</t>
  </si>
  <si>
    <t>B15001. SEX BY AGE BY EDUCATIONAL ATTAINMENT FOR THE POPULATION 18 YEARS AND OVER</t>
  </si>
  <si>
    <t>B15001</t>
  </si>
  <si>
    <t>Total: Male: 18 to 24 years</t>
  </si>
  <si>
    <t>Total: Male: 18 to 24 years: Less than 9th grade</t>
  </si>
  <si>
    <t>Total: Male: 18 to 24 years: 9th to 12th grade, no diploma</t>
  </si>
  <si>
    <t>Total: Male: 18 to 24 years: High school graduate (includes equivalency)</t>
  </si>
  <si>
    <t>Total: Male: 18 to 24 years: Some college, no degree</t>
  </si>
  <si>
    <t>Total: Male: 18 to 24 years: Associate's degree</t>
  </si>
  <si>
    <t>Total: Male: 18 to 24 years: Bachelor's degree</t>
  </si>
  <si>
    <t>Total: Male: 18 to 24 years: Graduate or professional degree</t>
  </si>
  <si>
    <t>Total: Male: 25 to 34 years</t>
  </si>
  <si>
    <t>Total: Male: 25 to 34 years: Less than 9th grade</t>
  </si>
  <si>
    <t>Total: Male: 25 to 34 years: 9th to 12th grade, no diploma</t>
  </si>
  <si>
    <t>Total: Male: 25 to 34 years: High school graduate (includes equivalency)</t>
  </si>
  <si>
    <t>Total: Male: 25 to 34 years: Some college, no degree</t>
  </si>
  <si>
    <t>Total: Male: 25 to 34 years: Associate's degree</t>
  </si>
  <si>
    <t>Total: Male: 25 to 34 years: Bachelor's degree</t>
  </si>
  <si>
    <t>Total: Male: 25 to 34 years: Graduate or professional degree</t>
  </si>
  <si>
    <t>Total: Male: 35 to 44 years: Less than 9th grade</t>
  </si>
  <si>
    <t>Total: Male: 35 to 44 years: 9th to 12th grade, no diploma</t>
  </si>
  <si>
    <t>Total: Male: 35 to 44 years: High school graduate (includes equivalency)</t>
  </si>
  <si>
    <t>Total: Male: 35 to 44 years: Some college, no degree</t>
  </si>
  <si>
    <t>Total: Male: 35 to 44 years: Associate's degree</t>
  </si>
  <si>
    <t>Total: Male: 35 to 44 years: Bachelor's degree</t>
  </si>
  <si>
    <t>Total: Male: 35 to 44 years: Graduate or professional degree</t>
  </si>
  <si>
    <t>Total: Male: 45 to 64 years</t>
  </si>
  <si>
    <t>Total: Male: 45 to 64 years: Less than 9th grade</t>
  </si>
  <si>
    <t>Total: Male: 45 to 64 years: 9th to 12th grade, no diploma</t>
  </si>
  <si>
    <t>Total: Male: 45 to 64 years: High school graduate (includes equivalency)</t>
  </si>
  <si>
    <t>Total: Male: 45 to 64 years: Some college, no degree</t>
  </si>
  <si>
    <t>Total: Male: 45 to 64 years: Associate's degree</t>
  </si>
  <si>
    <t>Total: Male: 45 to 64 years: Bachelor's degree</t>
  </si>
  <si>
    <t>Total: Male: 45 to 64 years: Graduate or professional degree</t>
  </si>
  <si>
    <t>Total: Male: 65 years and over</t>
  </si>
  <si>
    <t>Total: Male: 65 years and over: Less than 9th grade</t>
  </si>
  <si>
    <t>Total: Male: 65 years and over: 9th to 12th grade, no diploma</t>
  </si>
  <si>
    <t>Total: Male: 65 years and over: High school graduate (includes equivalency)</t>
  </si>
  <si>
    <t>Total: Male: 65 years and over: Some college, no degree</t>
  </si>
  <si>
    <t>Total: Male: 65 years and over: Associate's degree</t>
  </si>
  <si>
    <t>Total: Male: 65 years and over: Bachelor's degree</t>
  </si>
  <si>
    <t>Total: Male: 65 years and over: Graduate or professional degree</t>
  </si>
  <si>
    <t>Total: Female: 18 to 24 years</t>
  </si>
  <si>
    <t>Total: Female: 18 to 24 years: Less than 9th grade</t>
  </si>
  <si>
    <t>Total: Female: 18 to 24 years: 9th to 12th grade, no diploma</t>
  </si>
  <si>
    <t>Total: Female: 18 to 24 years: High school graduate (includes equivalency)</t>
  </si>
  <si>
    <t>Total: Female: 18 to 24 years: Some college, no degree</t>
  </si>
  <si>
    <t>Total: Female: 18 to 24 years: Associate's degree</t>
  </si>
  <si>
    <t>Total: Female: 18 to 24 years: Bachelor's degree</t>
  </si>
  <si>
    <t>Total: Female: 18 to 24 years: Graduate or professional degree</t>
  </si>
  <si>
    <t>Total: Female: 25 to 34 years</t>
  </si>
  <si>
    <t>Total: Female: 25 to 34 years: Less than 9th grade</t>
  </si>
  <si>
    <t>Total: Female: 25 to 34 years: 9th to 12th grade, no diploma</t>
  </si>
  <si>
    <t>Total: Female: 25 to 34 years: High school graduate (includes equivalency)</t>
  </si>
  <si>
    <t>Total: Female: 25 to 34 years: Some college, no degree</t>
  </si>
  <si>
    <t>Total: Female: 25 to 34 years: Associate's degree</t>
  </si>
  <si>
    <t>Total: Female: 25 to 34 years: Bachelor's degree</t>
  </si>
  <si>
    <t>Total: Female: 25 to 34 years: Graduate or professional degree</t>
  </si>
  <si>
    <t>Total: Female: 35 to 44 years: Less than 9th grade</t>
  </si>
  <si>
    <t>Total: Female: 35 to 44 years: 9th to 12th grade, no diploma</t>
  </si>
  <si>
    <t>Total: Female: 35 to 44 years: High school graduate (includes equivalency)</t>
  </si>
  <si>
    <t>Total: Female: 35 to 44 years: Some college, no degree</t>
  </si>
  <si>
    <t>Total: Female: 35 to 44 years: Associate's degree</t>
  </si>
  <si>
    <t>Total: Female: 35 to 44 years: Bachelor's degree</t>
  </si>
  <si>
    <t>Total: Female: 35 to 44 years: Graduate or professional degree</t>
  </si>
  <si>
    <t>Total: Female: 45 to 64 years</t>
  </si>
  <si>
    <t>Total: Female: 45 to 64 years: Less than 9th grade</t>
  </si>
  <si>
    <t>Total: Female: 45 to 64 years: 9th to 12th grade, no diploma</t>
  </si>
  <si>
    <t>Total: Female: 45 to 64 years: High school graduate (includes equivalency)</t>
  </si>
  <si>
    <t>Total: Female: 45 to 64 years: Some college, no degree</t>
  </si>
  <si>
    <t>Total: Female: 45 to 64 years: Associate's degree</t>
  </si>
  <si>
    <t>Total: Female: 45 to 64 years: Bachelor's degree</t>
  </si>
  <si>
    <t>Total: Female: 45 to 64 years: Graduate or professional degree</t>
  </si>
  <si>
    <t>Total: Female: 65 years and over</t>
  </si>
  <si>
    <t>Total: Female: 65 years and over: Less than 9th grade</t>
  </si>
  <si>
    <t>Total: Female: 65 years and over: 9th to 12th grade, no diploma</t>
  </si>
  <si>
    <t>Total: Female: 65 years and over: High school graduate (includes equivalency)</t>
  </si>
  <si>
    <t>Total: Female: 65 years and over: Some college, no degree</t>
  </si>
  <si>
    <t>Total: Female: 65 years and over: Associate's degree</t>
  </si>
  <si>
    <t>Total: Female: 65 years and over: Bachelor's degree</t>
  </si>
  <si>
    <t>Total: Female: 65 years and over: Graduate or professional degree</t>
  </si>
  <si>
    <t>b20004_001</t>
  </si>
  <si>
    <t>b20004_002</t>
  </si>
  <si>
    <t>b20004_003</t>
  </si>
  <si>
    <t>b20004_004</t>
  </si>
  <si>
    <t>b20004_005</t>
  </si>
  <si>
    <t>b20004_006</t>
  </si>
  <si>
    <t>b20004_007</t>
  </si>
  <si>
    <t>b20004_008</t>
  </si>
  <si>
    <t>b20004_009</t>
  </si>
  <si>
    <t>b20004_010</t>
  </si>
  <si>
    <t>b20004_011</t>
  </si>
  <si>
    <t>b20004_012</t>
  </si>
  <si>
    <t>b20004_013</t>
  </si>
  <si>
    <t>b20004_014</t>
  </si>
  <si>
    <t>b20004_015</t>
  </si>
  <si>
    <t>b20004_016</t>
  </si>
  <si>
    <t>b20004_017</t>
  </si>
  <si>
    <t>b20004_018</t>
  </si>
  <si>
    <t>B20004. MEDIAN EARNINGS IN THE PAST 12 MONTHS (IN 2016 INFLATION-ADJUSTED DOLLARS) BY SEX BY EDUCATIONAL ATTAINMENT FOR THE POPULATION 25 YEARS AND OVER</t>
  </si>
  <si>
    <t>B20004</t>
  </si>
  <si>
    <t>Total: Bachelor's degree</t>
  </si>
  <si>
    <t>Total: Graduate or professional degree</t>
  </si>
  <si>
    <t>Total: Male: Less than high school graduate</t>
  </si>
  <si>
    <t>Total: Male: High school graduate (includes equivalency)</t>
  </si>
  <si>
    <t>Total: Male: Some college or associate's degree</t>
  </si>
  <si>
    <t>Total: Male: Bachelor's degree</t>
  </si>
  <si>
    <t>Total: Male: Graduate or professional degree</t>
  </si>
  <si>
    <t>Total: Female: Less than high school graduate</t>
  </si>
  <si>
    <t>Total: Female: High school graduate (includes equivalency)</t>
  </si>
  <si>
    <t>Total: Female: Some college or associate's degree</t>
  </si>
  <si>
    <t>Total: Female: Bachelor's degree</t>
  </si>
  <si>
    <t>Total: Female: Graduate or professional degree</t>
  </si>
  <si>
    <t>c000</t>
  </si>
  <si>
    <t>cns01</t>
  </si>
  <si>
    <t>cns02</t>
  </si>
  <si>
    <t>cns03</t>
  </si>
  <si>
    <t>cns04</t>
  </si>
  <si>
    <t>cns05</t>
  </si>
  <si>
    <t>cns06</t>
  </si>
  <si>
    <t>cns07</t>
  </si>
  <si>
    <t>cns08</t>
  </si>
  <si>
    <t>cns09</t>
  </si>
  <si>
    <t>cns10</t>
  </si>
  <si>
    <t>cns11</t>
  </si>
  <si>
    <t>cns12</t>
  </si>
  <si>
    <t>cns13</t>
  </si>
  <si>
    <t>cns14</t>
  </si>
  <si>
    <t>cns15</t>
  </si>
  <si>
    <t>cns16</t>
  </si>
  <si>
    <t>cns17</t>
  </si>
  <si>
    <t>cns18</t>
  </si>
  <si>
    <t>cns19</t>
  </si>
  <si>
    <t>cns20</t>
  </si>
  <si>
    <t>jobs</t>
  </si>
  <si>
    <t>workers</t>
  </si>
  <si>
    <t>Number of jobs in NAICS sector 11 (Agriculture, Forestry, Fishing and Hunting)</t>
  </si>
  <si>
    <t>Number of jobs in NAICS sector 21 (Mining, Quarrying, and Oil and Gas Extraction)</t>
  </si>
  <si>
    <t>Number of jobs in NAICS sector 22 (Utilities)</t>
  </si>
  <si>
    <t>Number of jobs in NAICS sector 23 (Construction)</t>
  </si>
  <si>
    <t>Number of jobs in NAICS sector 31-33 (Manufacturing)</t>
  </si>
  <si>
    <t>Number of jobs in NAICS sector 42 (Wholesale Trade)</t>
  </si>
  <si>
    <t>Number of jobs in NAICS sector 44-45 (Retail Trade)</t>
  </si>
  <si>
    <t>Number of jobs in NAICS sector 48-49 (Transportation and Warehousing)</t>
  </si>
  <si>
    <t>Number of jobs in NAICS sector 51 (Information)</t>
  </si>
  <si>
    <t>Number of jobs in NAICS sector 52 (Finance and Insurance)</t>
  </si>
  <si>
    <t>Number of jobs in NAICS sector 53 (Real Estate and Rental and Leasing)</t>
  </si>
  <si>
    <t>Number of jobs in NAICS sector 54 (Professional, Scientific, and Technical Services)</t>
  </si>
  <si>
    <t>Number of jobs in NAICS sector 55 (Management of Companies and Enterprises)</t>
  </si>
  <si>
    <t>Number of jobs in NAICS sector 56 (Administrative and Support and Waste Management and Remediation Services)</t>
  </si>
  <si>
    <t>Number of jobs in NAICS sector 61 (Educational Services)</t>
  </si>
  <si>
    <t>Number of jobs in NAICS sector 62 (Health Care and Social Assistance)</t>
  </si>
  <si>
    <t>Number of jobs in NAICS sector 71 (Arts, Entertainment, and Recreation)</t>
  </si>
  <si>
    <t>Number of jobs in NAICS sector 72 (Accommodation and Food Services)</t>
  </si>
  <si>
    <t>Number of jobs in NAICS sector 81 (Other Services [except Public Administration])</t>
  </si>
  <si>
    <t>Number of jobs in NAICS sector 92 (Public Administration)</t>
  </si>
  <si>
    <t>Source: 2013-2017 ACS and 2006-2010 ACS</t>
  </si>
  <si>
    <t>Source: 2013-2017 ACS Data</t>
  </si>
  <si>
    <t>Source: 2006-2010 ACS, 2013-2017 ACS</t>
  </si>
  <si>
    <t>Source: 2012-2016 CHAS</t>
  </si>
  <si>
    <t>Source: 2012-2016 CHAS Data</t>
  </si>
  <si>
    <t>Source: 2013-2017 ACS Data (Total Units) 2012-2016 CHAS (Units with Children Present)</t>
  </si>
  <si>
    <t>Suburban Cook</t>
  </si>
  <si>
    <t xml:space="preserve">1 of 4 housing problems: cost burden not computed, household has none of the other housing problems </t>
  </si>
  <si>
    <t xml:space="preserve">Cost burden: </t>
  </si>
  <si>
    <t xml:space="preserve">Cost burden: less than or equal to 30% </t>
  </si>
  <si>
    <t xml:space="preserve">Cost burden: greater than 30% but less than or equal to 50% </t>
  </si>
  <si>
    <t xml:space="preserve">Cost burden: greater than 50% </t>
  </si>
  <si>
    <t xml:space="preserve">Year structure was built: </t>
  </si>
  <si>
    <t xml:space="preserve">Household income: </t>
  </si>
  <si>
    <t xml:space="preserve">Children: </t>
  </si>
  <si>
    <t>Year structure was built:  AND Structure built in 1980 or later</t>
  </si>
  <si>
    <t>Household income:  AND household income is less than or equal to 30% of HAMFI</t>
  </si>
  <si>
    <t>Children:  AND household contains 1 or more children age 6 or younger</t>
  </si>
  <si>
    <t>Children:  AND household contains no children age 6 or younger</t>
  </si>
  <si>
    <t>Household income:  AND household income is greater than 30% but less than or equal to 50% of HAMFI</t>
  </si>
  <si>
    <t>Household income:  AND household income is greater than 50% but less than or equal to 80% of HAMFI</t>
  </si>
  <si>
    <t>Household income:  AND household income is greater than 80% but less than or equal to 100% of HAMFI</t>
  </si>
  <si>
    <t>Household income:  AND household income is greater than 100% of HAMFI</t>
  </si>
  <si>
    <t>Year structure was built:  AND Structure built between 1940 and 1979</t>
  </si>
  <si>
    <t>Year structure was built:  AND Structure built in 1939 or earlier</t>
  </si>
  <si>
    <t>suburban cook value</t>
  </si>
  <si>
    <t>b25003_003</t>
  </si>
  <si>
    <t>b25003_002</t>
  </si>
  <si>
    <t>Multiple Races</t>
  </si>
  <si>
    <t>TH</t>
  </si>
  <si>
    <t>NA</t>
  </si>
  <si>
    <t>N/A</t>
  </si>
  <si>
    <t>Source: PHAs, 2019</t>
  </si>
  <si>
    <t># of Family Self Sufficiency completions</t>
  </si>
  <si>
    <t>Summit Senior Villas</t>
  </si>
  <si>
    <t>VERA YATES HOMES</t>
  </si>
  <si>
    <t>Summit Senior Building Phase I</t>
  </si>
  <si>
    <t>Riverdale</t>
  </si>
  <si>
    <t>SUNRISE APTS</t>
  </si>
  <si>
    <t>SCATTERED SITES</t>
  </si>
  <si>
    <t>GLENSHIRE NURSING&amp;REHAB CTR.</t>
  </si>
  <si>
    <t>Skokie Meadows</t>
  </si>
  <si>
    <t>GARDEN HOUSE OF RIVER OAKS II</t>
  </si>
  <si>
    <t>GARDEN HOUSE OF PARK FOREST</t>
  </si>
  <si>
    <t>CENTENNIAL APARTMENTS SOUTH</t>
  </si>
  <si>
    <t>Alexian Village of Elk Grove</t>
  </si>
  <si>
    <t>BERNARDIN MANOR</t>
  </si>
  <si>
    <t>ST PETER CLAVER SENIOR HOUSING</t>
  </si>
  <si>
    <t>Bishop Goedert Residence</t>
  </si>
  <si>
    <t>Our Savior's Senior Housing</t>
  </si>
  <si>
    <t>GOLFVIEW DEVELOPMENTAL CENTER</t>
  </si>
  <si>
    <t>Pheasant Ridge/Hunter Apartments</t>
  </si>
  <si>
    <t>CEDAR VILLAGE OF ARLINGTON HEIGHTS</t>
  </si>
  <si>
    <t>Victory Centre of River Woods</t>
  </si>
  <si>
    <t>RAND GROVE VILLAGE</t>
  </si>
  <si>
    <t>CHICAGO HEIGHTS APARTMENTS</t>
  </si>
  <si>
    <t>NORTHLAKE SENIOR HOUSING</t>
  </si>
  <si>
    <t>GATES MANOR APARTMENTS</t>
  </si>
  <si>
    <t>WATERFORD ESTATES</t>
  </si>
  <si>
    <t>EMERALD VILLAGE</t>
  </si>
  <si>
    <t>RICHTON SQUARE APARTMENTS</t>
  </si>
  <si>
    <t>CENTENNIAL NORTH APARTMENTS</t>
  </si>
  <si>
    <t>LINDEN HOUSE APARTMENTS</t>
  </si>
  <si>
    <t>PELLA HOUSE</t>
  </si>
  <si>
    <t>JACOB BLAKE MANOR</t>
  </si>
  <si>
    <t>OLYMPIC VILLAGE</t>
  </si>
  <si>
    <t>BLARE TERRACE</t>
  </si>
  <si>
    <t>EVANSTON APARTMENTS</t>
  </si>
  <si>
    <t>Bria of Chicago Heights</t>
  </si>
  <si>
    <t>Rustic Oaks Apartments</t>
  </si>
  <si>
    <t>BREMENTOWNE MANOR</t>
  </si>
  <si>
    <t>THE MOORINGS</t>
  </si>
  <si>
    <t>Linden Place Apartments</t>
  </si>
  <si>
    <t>PALATINE SENIOR RESIDENCES</t>
  </si>
  <si>
    <t>FRANCES MANOR</t>
  </si>
  <si>
    <t>SUN RISE/FAMILY SERVICE CENTERS</t>
  </si>
  <si>
    <t>MORTON GROVE HOUSING FOR THE ELDERL</t>
  </si>
  <si>
    <t>Village Grove Apartments</t>
  </si>
  <si>
    <t>RIVERWALK SENIOR APARTMENTS</t>
  </si>
  <si>
    <t>FOXBORO APARTMENTS</t>
  </si>
  <si>
    <t>GOOD SHEPHERD MANOR</t>
  </si>
  <si>
    <t>BUFORD WALKER SENIOR HOUSING</t>
  </si>
  <si>
    <t>PATHWAY OF RIVER OAKS</t>
  </si>
  <si>
    <t>OAK FOREST HORIZON SENIOR LIVING COMMUNITY</t>
  </si>
  <si>
    <t>VICTORY CENTRE OF BARTLETT</t>
  </si>
  <si>
    <t>CARRIAGE CREEK APARTMENTS</t>
  </si>
  <si>
    <t>PACESETTER REDEVELOPMENT, PHASE I</t>
  </si>
  <si>
    <t>PRAIRIE VIEW APARTMENTS</t>
  </si>
  <si>
    <t>PATTEN HOUSE OF GLENVIEW</t>
  </si>
  <si>
    <t>CEDAR VILLAGE OF SCHAUMBURG</t>
  </si>
  <si>
    <t>ARLINGTON CLUB</t>
  </si>
  <si>
    <t>Park Ridge Care Center</t>
  </si>
  <si>
    <t>CEDAR RIDGE APARTMENTS</t>
  </si>
  <si>
    <t>SAINT ANDREWS MANOR</t>
  </si>
  <si>
    <t>LANDMEIER STATION</t>
  </si>
  <si>
    <t>ST FRANCIS OF ASSISI RESIDENCE</t>
  </si>
  <si>
    <t>South Suburban Elderly</t>
  </si>
  <si>
    <t>HARVEY III</t>
  </si>
  <si>
    <t>Old Orchard Residences</t>
  </si>
  <si>
    <t>Glen Oaks Nursing and Rehabilitation Centre</t>
  </si>
  <si>
    <t>The Pointe at Kilpatrick</t>
  </si>
  <si>
    <t>Bria of River Oaks</t>
  </si>
  <si>
    <t>WESTBROOK APARTMENTS</t>
  </si>
  <si>
    <t>HARVEY YMCA ELDERLY HOUSING</t>
  </si>
  <si>
    <t>OVER THE RAINBOW UNIT II</t>
  </si>
  <si>
    <t>VILLAGE CENTER</t>
  </si>
  <si>
    <t>RIDGE GARDEN APARTMENTS</t>
  </si>
  <si>
    <t>ROBINEAU GROUP LIVING FACILITY</t>
  </si>
  <si>
    <t>Oak Tree Village</t>
  </si>
  <si>
    <t>MATTESON SUPPORTIVE HOUSING</t>
  </si>
  <si>
    <t>NORTH SHORE HOMES</t>
  </si>
  <si>
    <t>GROSS POINT ELDERLY HOUSING</t>
  </si>
  <si>
    <t>LAWRENCE MANOR</t>
  </si>
  <si>
    <t>THORNWOOD APARTMENTS</t>
  </si>
  <si>
    <t>GINGER RIDGE</t>
  </si>
  <si>
    <t>Victory Centre of Sierra Ridge</t>
  </si>
  <si>
    <t>Park Forest Supportive Housing</t>
  </si>
  <si>
    <t>CLEARBROOK HOMES</t>
  </si>
  <si>
    <t>SHORE LINE PLACE</t>
  </si>
  <si>
    <t>SQUIRE VILLAGE</t>
  </si>
  <si>
    <t>ARROWHEAD VILLAGE</t>
  </si>
  <si>
    <t>ELMWOOD PARK SR COMPLEX</t>
  </si>
  <si>
    <t>HUNTINGTON TOWERS</t>
  </si>
  <si>
    <t>GREENWOOD II, LLC DOVER LAGRANGE</t>
  </si>
  <si>
    <t>Garden House Of River Oaks I</t>
  </si>
  <si>
    <t>Little City for Community Development</t>
  </si>
  <si>
    <t>PARK LAWN HOMES, INC.</t>
  </si>
  <si>
    <t>71</t>
  </si>
  <si>
    <t>Sidney L. Port Center</t>
  </si>
  <si>
    <t>67</t>
  </si>
  <si>
    <t>PROSPECT HOMES</t>
  </si>
  <si>
    <t>78</t>
  </si>
  <si>
    <t>EBENEZER PRIMM TOWERS</t>
  </si>
  <si>
    <t>90</t>
  </si>
  <si>
    <t>Vacant Units*</t>
  </si>
  <si>
    <t>Abandoned Vacant Units</t>
  </si>
  <si>
    <t>*Source: 2018 ACS</t>
  </si>
  <si>
    <t>** Source: Foreclosure auctions resulting in REO, 2018 analysis by DePaul University Institute For Housing Studies, https://www.housingstudies.org/data-portal/geography/cook-county/</t>
  </si>
  <si>
    <t>Table 11 - Crowding Information (1/2)</t>
  </si>
  <si>
    <t>Table 12 - Children Present (Crowding Information [2/2])</t>
  </si>
  <si>
    <t>Source: CNT analysis of 2014-2018 ACS and 2011-2015 CHAS, based on even distribution of 36.5212% children present in renter-occupied housing units and 33.8708% present in owner-occupied housing units in suburban Cook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</si>
</sst>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.0%"/>
  </numFmts>
  <fonts count="2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8"/>
      <color rgb="FF000000"/>
      <name val="Verdana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rgb="FF000000"/>
      <name val="Times New Roman"/>
      <family val="1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trike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314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3" fontId="4" fillId="0" borderId="4" xfId="0" applyNumberFormat="1" applyFont="1" applyBorder="1" applyAlignment="1">
      <alignment horizontal="right" vertical="center" wrapText="1"/>
    </xf>
    <xf numFmtId="9" fontId="4" fillId="0" borderId="4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3" fontId="4" fillId="0" borderId="4" xfId="0" applyNumberFormat="1" applyFont="1" applyBorder="1" applyAlignment="1">
      <alignment horizontal="right" vertical="center"/>
    </xf>
    <xf numFmtId="0" fontId="2" fillId="0" borderId="0" xfId="0" applyFont="1"/>
    <xf numFmtId="0" fontId="2" fillId="0" borderId="2" xfId="0" applyFont="1" applyBorder="1" applyAlignment="1">
      <alignment vertical="center"/>
    </xf>
    <xf numFmtId="0" fontId="0" fillId="0" borderId="0" xfId="0" applyFont="1"/>
    <xf numFmtId="0" fontId="4" fillId="0" borderId="0" xfId="0" applyFont="1" applyFill="1" applyBorder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3" fontId="4" fillId="0" borderId="2" xfId="0" applyNumberFormat="1" applyFont="1" applyBorder="1" applyAlignment="1">
      <alignment horizontal="right" vertical="center" wrapText="1"/>
    </xf>
    <xf numFmtId="0" fontId="6" fillId="0" borderId="9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0" fillId="0" borderId="8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0" fillId="0" borderId="3" xfId="0" applyFont="1" applyBorder="1" applyAlignment="1">
      <alignment vertical="center" wrapText="1"/>
    </xf>
    <xf numFmtId="3" fontId="10" fillId="0" borderId="4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9" fontId="4" fillId="0" borderId="2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14" fillId="0" borderId="0" xfId="0" applyFont="1"/>
    <xf numFmtId="0" fontId="1" fillId="2" borderId="0" xfId="0" applyFont="1" applyFill="1"/>
    <xf numFmtId="0" fontId="1" fillId="2" borderId="0" xfId="0" applyFont="1" applyFill="1" applyAlignment="1"/>
    <xf numFmtId="0" fontId="3" fillId="2" borderId="0" xfId="0" applyFont="1" applyFill="1"/>
    <xf numFmtId="0" fontId="4" fillId="0" borderId="11" xfId="0" applyFont="1" applyBorder="1" applyAlignment="1">
      <alignment vertical="center" wrapText="1"/>
    </xf>
    <xf numFmtId="0" fontId="0" fillId="0" borderId="0" xfId="0" applyFill="1"/>
    <xf numFmtId="0" fontId="13" fillId="0" borderId="0" xfId="0" applyFont="1" applyFill="1"/>
    <xf numFmtId="0" fontId="8" fillId="0" borderId="0" xfId="0" applyFont="1"/>
    <xf numFmtId="0" fontId="0" fillId="0" borderId="1" xfId="0" applyBorder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horizontal="right" vertical="center"/>
    </xf>
    <xf numFmtId="9" fontId="4" fillId="0" borderId="4" xfId="0" applyNumberFormat="1" applyFont="1" applyFill="1" applyBorder="1" applyAlignment="1">
      <alignment horizontal="right" vertical="center"/>
    </xf>
    <xf numFmtId="0" fontId="10" fillId="0" borderId="3" xfId="0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3" fontId="4" fillId="0" borderId="1" xfId="0" applyNumberFormat="1" applyFon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9" fontId="4" fillId="0" borderId="4" xfId="0" applyNumberFormat="1" applyFont="1" applyFill="1" applyBorder="1" applyAlignment="1">
      <alignment horizontal="right" vertical="center" wrapText="1"/>
    </xf>
    <xf numFmtId="0" fontId="10" fillId="0" borderId="3" xfId="0" applyFont="1" applyFill="1" applyBorder="1" applyAlignment="1">
      <alignment vertical="center" wrapText="1"/>
    </xf>
    <xf numFmtId="3" fontId="10" fillId="0" borderId="4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3" fontId="0" fillId="0" borderId="1" xfId="0" applyNumberFormat="1" applyFill="1" applyBorder="1"/>
    <xf numFmtId="0" fontId="7" fillId="0" borderId="1" xfId="0" applyFont="1" applyFill="1" applyBorder="1" applyAlignment="1">
      <alignment vertical="center" wrapText="1"/>
    </xf>
    <xf numFmtId="0" fontId="0" fillId="0" borderId="1" xfId="0" applyBorder="1"/>
    <xf numFmtId="2" fontId="0" fillId="0" borderId="1" xfId="0" applyNumberFormat="1" applyBorder="1" applyAlignment="1">
      <alignment horizontal="left"/>
    </xf>
    <xf numFmtId="0" fontId="0" fillId="0" borderId="1" xfId="0" applyFill="1" applyBorder="1"/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vertical="center" wrapText="1"/>
    </xf>
    <xf numFmtId="9" fontId="0" fillId="0" borderId="1" xfId="2" applyFont="1" applyBorder="1"/>
    <xf numFmtId="0" fontId="0" fillId="0" borderId="0" xfId="0" applyBorder="1" applyAlignment="1"/>
    <xf numFmtId="9" fontId="4" fillId="0" borderId="0" xfId="0" applyNumberFormat="1" applyFont="1" applyFill="1" applyBorder="1" applyAlignment="1">
      <alignment horizontal="right" vertical="center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Fill="1" applyBorder="1"/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0" xfId="0"/>
    <xf numFmtId="0" fontId="0" fillId="0" borderId="0" xfId="0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Border="1"/>
    <xf numFmtId="0" fontId="0" fillId="0" borderId="0" xfId="0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 wrapText="1"/>
    </xf>
    <xf numFmtId="0" fontId="0" fillId="0" borderId="0" xfId="0" applyFont="1" applyBorder="1"/>
    <xf numFmtId="0" fontId="0" fillId="0" borderId="0" xfId="0" applyFont="1" applyBorder="1" applyAlignment="1">
      <alignment wrapText="1"/>
    </xf>
    <xf numFmtId="0" fontId="0" fillId="0" borderId="0" xfId="0"/>
    <xf numFmtId="0" fontId="0" fillId="0" borderId="0" xfId="0"/>
    <xf numFmtId="0" fontId="13" fillId="0" borderId="0" xfId="0" applyFont="1" applyFill="1" applyBorder="1" applyAlignment="1">
      <alignment vertical="center"/>
    </xf>
    <xf numFmtId="0" fontId="0" fillId="0" borderId="0" xfId="0"/>
    <xf numFmtId="3" fontId="0" fillId="0" borderId="0" xfId="0" applyNumberFormat="1" applyFill="1" applyBorder="1" applyAlignment="1">
      <alignment horizontal="right" vertical="center"/>
    </xf>
    <xf numFmtId="0" fontId="8" fillId="0" borderId="0" xfId="0" applyFont="1" applyBorder="1"/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top"/>
    </xf>
    <xf numFmtId="0" fontId="8" fillId="0" borderId="0" xfId="0" applyFont="1" applyBorder="1" applyAlignment="1">
      <alignment vertical="center"/>
    </xf>
    <xf numFmtId="0" fontId="18" fillId="0" borderId="0" xfId="0" applyFont="1" applyBorder="1" applyAlignment="1">
      <alignment vertical="top"/>
    </xf>
    <xf numFmtId="0" fontId="4" fillId="0" borderId="4" xfId="0" applyFont="1" applyFill="1" applyBorder="1" applyAlignment="1">
      <alignment horizontal="right" vertical="center"/>
    </xf>
    <xf numFmtId="3" fontId="4" fillId="0" borderId="2" xfId="0" applyNumberFormat="1" applyFont="1" applyFill="1" applyBorder="1" applyAlignment="1">
      <alignment horizontal="right" vertical="center"/>
    </xf>
    <xf numFmtId="0" fontId="19" fillId="0" borderId="1" xfId="0" applyFont="1" applyFill="1" applyBorder="1"/>
    <xf numFmtId="3" fontId="4" fillId="0" borderId="3" xfId="0" applyNumberFormat="1" applyFont="1" applyFill="1" applyBorder="1" applyAlignment="1">
      <alignment horizontal="right" vertical="center"/>
    </xf>
    <xf numFmtId="0" fontId="19" fillId="0" borderId="3" xfId="0" applyFont="1" applyFill="1" applyBorder="1"/>
    <xf numFmtId="0" fontId="0" fillId="0" borderId="0" xfId="0"/>
    <xf numFmtId="0" fontId="21" fillId="0" borderId="0" xfId="0" applyFont="1" applyAlignment="1">
      <alignment vertical="center"/>
    </xf>
    <xf numFmtId="0" fontId="20" fillId="0" borderId="0" xfId="0" applyFont="1"/>
    <xf numFmtId="0" fontId="20" fillId="0" borderId="0" xfId="0" applyFont="1" applyAlignment="1">
      <alignment vertical="center" wrapText="1"/>
    </xf>
    <xf numFmtId="0" fontId="0" fillId="0" borderId="0" xfId="0"/>
    <xf numFmtId="0" fontId="0" fillId="0" borderId="0" xfId="0"/>
    <xf numFmtId="0" fontId="4" fillId="0" borderId="8" xfId="0" applyFont="1" applyBorder="1" applyAlignment="1">
      <alignment vertical="center" wrapText="1"/>
    </xf>
    <xf numFmtId="165" fontId="0" fillId="0" borderId="1" xfId="1" applyNumberFormat="1" applyFont="1" applyBorder="1" applyAlignment="1">
      <alignment horizontal="right" vertical="center" wrapText="1"/>
    </xf>
    <xf numFmtId="3" fontId="0" fillId="0" borderId="1" xfId="0" applyNumberFormat="1" applyBorder="1"/>
    <xf numFmtId="3" fontId="0" fillId="0" borderId="14" xfId="0" applyNumberFormat="1" applyBorder="1"/>
    <xf numFmtId="3" fontId="0" fillId="0" borderId="13" xfId="0" applyNumberFormat="1" applyBorder="1"/>
    <xf numFmtId="3" fontId="4" fillId="0" borderId="2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0" fillId="0" borderId="7" xfId="0" applyBorder="1"/>
    <xf numFmtId="165" fontId="0" fillId="0" borderId="0" xfId="1" applyNumberFormat="1" applyFont="1"/>
    <xf numFmtId="0" fontId="2" fillId="0" borderId="10" xfId="0" applyFont="1" applyBorder="1" applyAlignment="1">
      <alignment horizontal="center" vertical="center"/>
    </xf>
    <xf numFmtId="165" fontId="0" fillId="0" borderId="1" xfId="1" applyNumberFormat="1" applyFont="1" applyBorder="1"/>
    <xf numFmtId="0" fontId="0" fillId="0" borderId="8" xfId="0" applyBorder="1"/>
    <xf numFmtId="165" fontId="0" fillId="0" borderId="2" xfId="1" applyNumberFormat="1" applyFont="1" applyBorder="1"/>
    <xf numFmtId="165" fontId="0" fillId="0" borderId="1" xfId="1" applyNumberFormat="1" applyFont="1" applyFill="1" applyBorder="1"/>
    <xf numFmtId="166" fontId="4" fillId="0" borderId="4" xfId="0" applyNumberFormat="1" applyFont="1" applyFill="1" applyBorder="1" applyAlignment="1">
      <alignment horizontal="right" vertical="center"/>
    </xf>
    <xf numFmtId="164" fontId="4" fillId="0" borderId="4" xfId="1" applyNumberFormat="1" applyFont="1" applyFill="1" applyBorder="1" applyAlignment="1">
      <alignment horizontal="right" vertical="center"/>
    </xf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165" fontId="4" fillId="0" borderId="4" xfId="1" applyNumberFormat="1" applyFont="1" applyBorder="1" applyAlignment="1">
      <alignment horizontal="right" vertical="center" wrapText="1"/>
    </xf>
    <xf numFmtId="166" fontId="4" fillId="0" borderId="2" xfId="0" applyNumberFormat="1" applyFont="1" applyBorder="1" applyAlignment="1">
      <alignment horizontal="right" vertical="center" wrapText="1"/>
    </xf>
    <xf numFmtId="166" fontId="4" fillId="0" borderId="4" xfId="1" applyNumberFormat="1" applyFont="1" applyBorder="1" applyAlignment="1">
      <alignment horizontal="right" vertical="center" wrapText="1"/>
    </xf>
    <xf numFmtId="3" fontId="10" fillId="0" borderId="13" xfId="0" applyNumberFormat="1" applyFont="1" applyBorder="1" applyAlignment="1">
      <alignment horizontal="right" vertical="center" wrapText="1"/>
    </xf>
    <xf numFmtId="166" fontId="0" fillId="0" borderId="1" xfId="0" applyNumberFormat="1" applyBorder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0" fillId="2" borderId="0" xfId="0" applyFill="1"/>
    <xf numFmtId="0" fontId="2" fillId="0" borderId="8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4" fillId="0" borderId="4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0" fillId="0" borderId="0" xfId="0"/>
    <xf numFmtId="10" fontId="4" fillId="0" borderId="4" xfId="0" applyNumberFormat="1" applyFont="1" applyBorder="1" applyAlignment="1">
      <alignment horizontal="right" vertical="center" wrapText="1"/>
    </xf>
    <xf numFmtId="0" fontId="0" fillId="0" borderId="0" xfId="0"/>
    <xf numFmtId="0" fontId="9" fillId="0" borderId="1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3" fontId="0" fillId="0" borderId="3" xfId="0" applyNumberFormat="1" applyFont="1" applyBorder="1" applyAlignment="1">
      <alignment vertical="center" wrapText="1"/>
    </xf>
    <xf numFmtId="165" fontId="16" fillId="0" borderId="3" xfId="1" applyNumberFormat="1" applyFont="1" applyBorder="1" applyAlignment="1">
      <alignment vertical="center" wrapText="1"/>
    </xf>
    <xf numFmtId="3" fontId="16" fillId="0" borderId="3" xfId="0" applyNumberFormat="1" applyFont="1" applyBorder="1" applyAlignment="1">
      <alignment vertical="center" wrapText="1"/>
    </xf>
    <xf numFmtId="0" fontId="0" fillId="0" borderId="0" xfId="0"/>
    <xf numFmtId="0" fontId="0" fillId="0" borderId="0" xfId="0"/>
    <xf numFmtId="165" fontId="4" fillId="0" borderId="2" xfId="1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vertical="center"/>
    </xf>
    <xf numFmtId="0" fontId="0" fillId="0" borderId="14" xfId="0" applyBorder="1"/>
    <xf numFmtId="3" fontId="0" fillId="0" borderId="0" xfId="1" applyNumberFormat="1" applyFont="1" applyBorder="1" applyAlignment="1">
      <alignment horizontal="right"/>
    </xf>
    <xf numFmtId="0" fontId="2" fillId="0" borderId="4" xfId="1" applyNumberFormat="1" applyFont="1" applyBorder="1" applyAlignment="1">
      <alignment horizontal="right"/>
    </xf>
    <xf numFmtId="0" fontId="2" fillId="0" borderId="1" xfId="0" applyFont="1" applyBorder="1"/>
    <xf numFmtId="0" fontId="2" fillId="0" borderId="1" xfId="1" applyNumberFormat="1" applyFont="1" applyBorder="1" applyAlignment="1">
      <alignment horizontal="right"/>
    </xf>
    <xf numFmtId="0" fontId="0" fillId="0" borderId="1" xfId="1" applyNumberFormat="1" applyFont="1" applyBorder="1" applyAlignment="1">
      <alignment horizontal="right"/>
    </xf>
    <xf numFmtId="3" fontId="2" fillId="0" borderId="1" xfId="1" applyNumberFormat="1" applyFont="1" applyBorder="1" applyAlignment="1">
      <alignment horizontal="right"/>
    </xf>
    <xf numFmtId="3" fontId="0" fillId="0" borderId="1" xfId="1" applyNumberFormat="1" applyFont="1" applyBorder="1" applyAlignment="1">
      <alignment horizontal="right"/>
    </xf>
    <xf numFmtId="3" fontId="0" fillId="0" borderId="13" xfId="1" applyNumberFormat="1" applyFont="1" applyBorder="1" applyAlignment="1">
      <alignment horizontal="right"/>
    </xf>
    <xf numFmtId="0" fontId="2" fillId="0" borderId="6" xfId="0" applyFont="1" applyBorder="1"/>
    <xf numFmtId="0" fontId="2" fillId="0" borderId="14" xfId="0" applyFont="1" applyBorder="1"/>
    <xf numFmtId="0" fontId="2" fillId="0" borderId="3" xfId="1" applyNumberFormat="1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4" borderId="1" xfId="0" applyFont="1" applyFill="1" applyBorder="1"/>
    <xf numFmtId="0" fontId="2" fillId="4" borderId="2" xfId="1" applyNumberFormat="1" applyFont="1" applyFill="1" applyBorder="1" applyAlignment="1">
      <alignment horizontal="right"/>
    </xf>
    <xf numFmtId="0" fontId="2" fillId="4" borderId="1" xfId="1" applyNumberFormat="1" applyFont="1" applyFill="1" applyBorder="1" applyAlignment="1">
      <alignment horizontal="right"/>
    </xf>
    <xf numFmtId="0" fontId="0" fillId="4" borderId="2" xfId="1" applyNumberFormat="1" applyFont="1" applyFill="1" applyBorder="1" applyAlignment="1">
      <alignment horizontal="right"/>
    </xf>
    <xf numFmtId="0" fontId="0" fillId="4" borderId="1" xfId="1" applyNumberFormat="1" applyFont="1" applyFill="1" applyBorder="1" applyAlignment="1">
      <alignment horizontal="right"/>
    </xf>
    <xf numFmtId="3" fontId="2" fillId="4" borderId="1" xfId="1" applyNumberFormat="1" applyFont="1" applyFill="1" applyBorder="1" applyAlignment="1">
      <alignment horizontal="right"/>
    </xf>
    <xf numFmtId="3" fontId="0" fillId="4" borderId="2" xfId="1" applyNumberFormat="1" applyFont="1" applyFill="1" applyBorder="1" applyAlignment="1">
      <alignment horizontal="right"/>
    </xf>
    <xf numFmtId="3" fontId="0" fillId="4" borderId="1" xfId="1" applyNumberFormat="1" applyFont="1" applyFill="1" applyBorder="1" applyAlignment="1">
      <alignment horizontal="right"/>
    </xf>
    <xf numFmtId="0" fontId="0" fillId="0" borderId="0" xfId="0"/>
    <xf numFmtId="165" fontId="0" fillId="0" borderId="4" xfId="1" applyNumberFormat="1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165" fontId="0" fillId="0" borderId="0" xfId="1" applyNumberFormat="1" applyFont="1" applyFill="1" applyBorder="1" applyAlignment="1">
      <alignment vertical="center" wrapText="1"/>
    </xf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19" fillId="0" borderId="0" xfId="0" applyFont="1"/>
    <xf numFmtId="0" fontId="24" fillId="0" borderId="8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3" xfId="0" applyFont="1" applyBorder="1" applyAlignment="1">
      <alignment vertical="center"/>
    </xf>
    <xf numFmtId="0" fontId="0" fillId="0" borderId="0" xfId="0"/>
    <xf numFmtId="43" fontId="0" fillId="0" borderId="0" xfId="1" applyFont="1"/>
    <xf numFmtId="0" fontId="0" fillId="0" borderId="0" xfId="0"/>
    <xf numFmtId="0" fontId="0" fillId="0" borderId="0" xfId="0"/>
    <xf numFmtId="0" fontId="0" fillId="0" borderId="0" xfId="0"/>
    <xf numFmtId="0" fontId="4" fillId="0" borderId="3" xfId="0" applyFont="1" applyBorder="1" applyAlignment="1">
      <alignment vertical="center" wrapText="1"/>
    </xf>
    <xf numFmtId="0" fontId="2" fillId="0" borderId="0" xfId="0" applyFont="1"/>
    <xf numFmtId="0" fontId="6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14" fillId="0" borderId="0" xfId="0" applyFont="1"/>
    <xf numFmtId="0" fontId="1" fillId="2" borderId="0" xfId="0" applyFont="1" applyFill="1"/>
    <xf numFmtId="0" fontId="3" fillId="2" borderId="0" xfId="0" applyFont="1" applyFill="1"/>
    <xf numFmtId="3" fontId="4" fillId="0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1" xfId="0" applyFont="1" applyFill="1" applyBorder="1" applyAlignment="1">
      <alignment horizontal="right" vertical="center"/>
    </xf>
    <xf numFmtId="0" fontId="2" fillId="0" borderId="6" xfId="0" applyFont="1" applyBorder="1" applyAlignment="1"/>
    <xf numFmtId="0" fontId="0" fillId="0" borderId="3" xfId="0" applyBorder="1" applyAlignment="1">
      <alignment horizontal="center"/>
    </xf>
    <xf numFmtId="0" fontId="0" fillId="0" borderId="1" xfId="0" applyFill="1" applyBorder="1" applyAlignment="1">
      <alignment horizontal="right" vertical="center" wrapText="1"/>
    </xf>
    <xf numFmtId="0" fontId="0" fillId="0" borderId="1" xfId="0" applyFill="1" applyBorder="1" applyAlignment="1">
      <alignment horizontal="right" vertical="center"/>
    </xf>
    <xf numFmtId="0" fontId="15" fillId="0" borderId="3" xfId="0" applyFont="1" applyBorder="1" applyAlignment="1">
      <alignment horizontal="right" vertical="center" wrapText="1"/>
    </xf>
    <xf numFmtId="3" fontId="0" fillId="0" borderId="1" xfId="0" applyNumberFormat="1" applyFill="1" applyBorder="1" applyAlignment="1">
      <alignment horizontal="right" vertical="center"/>
    </xf>
    <xf numFmtId="3" fontId="0" fillId="0" borderId="1" xfId="0" applyNumberFormat="1" applyFill="1" applyBorder="1" applyAlignment="1">
      <alignment horizontal="right" vertical="center" wrapText="1"/>
    </xf>
    <xf numFmtId="0" fontId="0" fillId="3" borderId="1" xfId="0" applyFill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3" borderId="1" xfId="0" applyNumberFormat="1" applyFill="1" applyBorder="1" applyAlignment="1">
      <alignment horizontal="right"/>
    </xf>
    <xf numFmtId="165" fontId="0" fillId="0" borderId="1" xfId="1" applyNumberFormat="1" applyFont="1" applyFill="1" applyBorder="1" applyAlignment="1">
      <alignment horizontal="right" vertical="center"/>
    </xf>
    <xf numFmtId="165" fontId="0" fillId="0" borderId="8" xfId="1" applyNumberFormat="1" applyFont="1" applyFill="1" applyBorder="1" applyAlignment="1">
      <alignment horizontal="right" vertical="center"/>
    </xf>
    <xf numFmtId="0" fontId="0" fillId="0" borderId="1" xfId="0" applyBorder="1"/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2" fillId="0" borderId="0" xfId="0" applyFont="1"/>
    <xf numFmtId="0" fontId="0" fillId="0" borderId="0" xfId="0" applyFont="1"/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12" fillId="0" borderId="9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" fillId="2" borderId="0" xfId="0" applyFont="1" applyFill="1"/>
    <xf numFmtId="0" fontId="3" fillId="2" borderId="0" xfId="0" applyFont="1" applyFill="1"/>
    <xf numFmtId="0" fontId="0" fillId="0" borderId="1" xfId="0" applyBorder="1" applyAlignment="1">
      <alignment horizontal="right"/>
    </xf>
    <xf numFmtId="0" fontId="0" fillId="0" borderId="0" xfId="0" applyBorder="1"/>
    <xf numFmtId="0" fontId="0" fillId="0" borderId="1" xfId="0" applyFont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wrapText="1"/>
    </xf>
    <xf numFmtId="0" fontId="0" fillId="0" borderId="0" xfId="0" applyFont="1" applyBorder="1"/>
    <xf numFmtId="3" fontId="0" fillId="3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 wrapText="1"/>
    </xf>
    <xf numFmtId="0" fontId="22" fillId="0" borderId="2" xfId="0" applyFont="1" applyBorder="1" applyAlignment="1">
      <alignment vertical="center" wrapText="1"/>
    </xf>
    <xf numFmtId="0" fontId="22" fillId="0" borderId="4" xfId="0" applyFont="1" applyBorder="1" applyAlignment="1">
      <alignment vertical="center" wrapText="1"/>
    </xf>
    <xf numFmtId="0" fontId="22" fillId="0" borderId="1" xfId="0" applyFont="1" applyFill="1" applyBorder="1" applyAlignment="1">
      <alignment vertical="center"/>
    </xf>
    <xf numFmtId="0" fontId="22" fillId="0" borderId="1" xfId="0" applyFont="1" applyFill="1" applyBorder="1" applyAlignment="1">
      <alignment vertical="center" wrapText="1"/>
    </xf>
    <xf numFmtId="0" fontId="0" fillId="0" borderId="16" xfId="0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0" fontId="0" fillId="0" borderId="16" xfId="0" applyNumberForma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8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left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0" xfId="0"/>
    <xf numFmtId="0" fontId="2" fillId="0" borderId="6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16" fillId="0" borderId="6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3" fontId="0" fillId="0" borderId="2" xfId="0" applyNumberFormat="1" applyBorder="1" applyAlignment="1">
      <alignment vertical="center" wrapText="1"/>
    </xf>
    <xf numFmtId="3" fontId="0" fillId="0" borderId="4" xfId="0" applyNumberFormat="1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Paul Esling" id="{DDDD2811-5491-4328-9AF6-480C8E431D3A}" userId="S::pesling@cnt.org::9a50a7d0-c038-49c3-9be0-47877468e8af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7" dT="2019-09-04T20:44:13.58" personId="{DDDD2811-5491-4328-9AF6-480C8E431D3A}" id="{162EAAA2-00B0-4843-B51B-285171E0D094}">
    <text>Not adjusted for inflation into 2017 dollars</text>
  </threadedComment>
  <threadedComment ref="B24" dT="2019-08-23T18:38:08.19" personId="{DDDD2811-5491-4328-9AF6-480C8E431D3A}" id="{BDFDBEA9-AEA0-44CD-B9F3-21460D01DEE1}">
    <text>I assume we need HAMFI rather than AMI here since AMI is not part of CHAS data.  
I also assume the Total is the total for 0-100% HAMFI (excluding &gt; 100% HAMFI)</text>
  </threadedComment>
  <threadedComment ref="A30" dT="2019-08-23T18:58:53.91" personId="{DDDD2811-5491-4328-9AF6-480C8E431D3A}" id="{E5E8337D-DC63-4BE3-AD41-598326F4855D}">
    <text>I assume we need 30 - 50% rather than &gt; 30% here.</text>
  </threadedComment>
  <threadedComment ref="B37" dT="2019-08-23T18:38:08.19" personId="{DDDD2811-5491-4328-9AF6-480C8E431D3A}" id="{679E9CD4-DF0D-4F1D-9CAB-EF6DFE051245}">
    <text>I assume we need HAMFI rather than AMI here since AMI is not part of CHAS data.  
I also assume the Total is the total for 0-100% HAMFI (excluding &gt; 100% HAMFI)</text>
  </threadedComment>
  <threadedComment ref="A45" dT="2019-08-23T19:43:13.08" personId="{DDDD2811-5491-4328-9AF6-480C8E431D3A}" id="{B94A1087-1B8F-404A-9AF1-90DE5AF799FC}">
    <text>I assume we need 30 - 50% rather than &gt; 30% here.</text>
  </threadedComment>
  <threadedComment ref="B47" dT="2019-08-23T18:38:08.19" personId="{DDDD2811-5491-4328-9AF6-480C8E431D3A}" id="{C899ABE4-4055-48E7-87D9-EF781BE8E2BF}">
    <text>I assume we need HAMFI rather than AMI here since AMI is not part of CHAS data.  
I also assume the Total is the total for 0-100% HAMFI (excluding &gt; 100% HAMFI)</text>
  </threadedComment>
  <threadedComment ref="F47" dT="2019-08-23T18:38:08.19" personId="{DDDD2811-5491-4328-9AF6-480C8E431D3A}" id="{6EAF8305-0F40-4729-9E6B-18DC47B99E59}">
    <text>I assume we need HAMFI rather than AMI here since AMI is not part of CHAS data.  
I also assume the Total is the total for 0-100% HAMFI (excluding &gt; 100% HAMFI)</text>
  </threadedComment>
  <threadedComment ref="B59" dT="2019-08-23T18:38:08.19" personId="{DDDD2811-5491-4328-9AF6-480C8E431D3A}" id="{29EE7E4B-1535-4A72-A018-3BF2CB568BD3}">
    <text>I assume we need HAMFI rather than AMI here since AMI is not part of CHAS data.  
I also assume the Total is the total for 0-100% HAMFI (excluding &gt; 100% HAMFI)</text>
  </threadedComment>
  <threadedComment ref="F59" dT="2019-08-23T18:38:08.19" personId="{DDDD2811-5491-4328-9AF6-480C8E431D3A}" id="{FF414DE8-E9C1-47EC-94FA-AC423CAD405B}">
    <text>I assume we need HAMFI rather than AMI here since AMI is not part of CHAS data.  
I also assume the Total is the total for 0-100% HAMFI (excluding &gt; 100% HAMFI)</text>
  </threadedComment>
  <threadedComment ref="B71" dT="2019-08-23T18:38:08.19" personId="{DDDD2811-5491-4328-9AF6-480C8E431D3A}" id="{74ABB4BA-E56C-44BE-A15B-286ED1C56969}">
    <text>I assume we need HAMFI rather than AMI here since AMI is not part of CHAS data.  
I also assume the Total is the total for 0-100% HAMFI (excluding &gt; 100% HAMFI)</text>
  </threadedComment>
  <threadedComment ref="G71" dT="2019-08-23T18:38:08.19" personId="{DDDD2811-5491-4328-9AF6-480C8E431D3A}" id="{808721BD-A7D2-4517-9DBF-99A5B1945463}">
    <text>I assume we need HAMFI rather than AMI here since AMI is not part of CHAS data.  
I also assume the Total is the total for 0-100% HAMFI (excluding &gt; 100% HAMFI)</text>
  </threadedComment>
</ThreadedComment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83"/>
  <sheetViews>
    <sheetView workbookViewId="0">
      <selection activeCell="A2" sqref="A2"/>
    </sheetView>
  </sheetViews>
  <sheetFormatPr defaultColWidth="9.1796875" defaultRowHeight="14.5" x14ac:dyDescent="0.35"/>
  <cols>
    <col min="1" max="1" width="2.7265625" style="195" customWidth="1"/>
    <col min="2" max="2" width="3.81640625" style="195" customWidth="1"/>
    <col min="3" max="3" width="13.7265625" style="195" bestFit="1" customWidth="1"/>
    <col min="4" max="4" width="9.1796875" style="195"/>
    <col min="5" max="5" width="12.54296875" style="195" bestFit="1" customWidth="1"/>
    <col min="6" max="10" width="31" style="71" customWidth="1"/>
    <col min="11" max="16384" width="9.1796875" style="195"/>
  </cols>
  <sheetData>
    <row r="1" spans="1:10" x14ac:dyDescent="0.35">
      <c r="A1" s="195" t="s">
        <v>351</v>
      </c>
      <c r="B1" s="195" t="s">
        <v>352</v>
      </c>
      <c r="C1" s="195" t="s">
        <v>354</v>
      </c>
      <c r="D1" s="195" t="s">
        <v>353</v>
      </c>
      <c r="E1" s="195" t="s">
        <v>355</v>
      </c>
      <c r="F1" s="71" t="s">
        <v>356</v>
      </c>
      <c r="G1" s="71" t="s">
        <v>357</v>
      </c>
      <c r="H1" s="71" t="s">
        <v>358</v>
      </c>
      <c r="I1" s="71" t="s">
        <v>356</v>
      </c>
      <c r="J1" s="71" t="s">
        <v>359</v>
      </c>
    </row>
    <row r="2" spans="1:10" ht="29" x14ac:dyDescent="0.35">
      <c r="A2" s="195">
        <v>1</v>
      </c>
      <c r="B2" s="195">
        <v>1</v>
      </c>
      <c r="C2" s="195" t="s">
        <v>360</v>
      </c>
      <c r="D2" s="64">
        <v>1042580</v>
      </c>
      <c r="E2" s="195" t="s">
        <v>26</v>
      </c>
      <c r="F2" s="71" t="s">
        <v>361</v>
      </c>
      <c r="G2" s="71" t="s">
        <v>362</v>
      </c>
      <c r="H2" s="71" t="s">
        <v>363</v>
      </c>
      <c r="I2" s="71" t="s">
        <v>364</v>
      </c>
    </row>
    <row r="3" spans="1:10" x14ac:dyDescent="0.35">
      <c r="A3" s="195">
        <v>1</v>
      </c>
      <c r="B3" s="195">
        <v>2</v>
      </c>
      <c r="C3" s="195" t="s">
        <v>365</v>
      </c>
      <c r="D3" s="64">
        <v>459890</v>
      </c>
      <c r="E3" s="195" t="s">
        <v>366</v>
      </c>
      <c r="F3" s="71" t="s">
        <v>367</v>
      </c>
      <c r="G3" s="71" t="s">
        <v>362</v>
      </c>
      <c r="H3" s="71" t="s">
        <v>363</v>
      </c>
      <c r="I3" s="71" t="s">
        <v>364</v>
      </c>
    </row>
    <row r="4" spans="1:10" ht="87" x14ac:dyDescent="0.35">
      <c r="A4" s="195">
        <v>1</v>
      </c>
      <c r="B4" s="195">
        <v>3</v>
      </c>
      <c r="C4" s="195" t="s">
        <v>368</v>
      </c>
      <c r="D4" s="64">
        <v>158520</v>
      </c>
      <c r="E4" s="195" t="s">
        <v>366</v>
      </c>
      <c r="F4" s="71" t="s">
        <v>367</v>
      </c>
      <c r="G4" s="71" t="s">
        <v>369</v>
      </c>
      <c r="H4" s="71" t="s">
        <v>363</v>
      </c>
      <c r="I4" s="71" t="s">
        <v>364</v>
      </c>
    </row>
    <row r="5" spans="1:10" ht="87" x14ac:dyDescent="0.35">
      <c r="A5" s="195">
        <v>1</v>
      </c>
      <c r="B5" s="195">
        <v>4</v>
      </c>
      <c r="C5" s="195" t="s">
        <v>370</v>
      </c>
      <c r="D5" s="64">
        <v>39310</v>
      </c>
      <c r="E5" s="195" t="s">
        <v>366</v>
      </c>
      <c r="F5" s="71" t="s">
        <v>367</v>
      </c>
      <c r="G5" s="71" t="s">
        <v>369</v>
      </c>
      <c r="H5" s="71" t="s">
        <v>371</v>
      </c>
      <c r="I5" s="71" t="s">
        <v>364</v>
      </c>
    </row>
    <row r="6" spans="1:10" ht="87" x14ac:dyDescent="0.35">
      <c r="A6" s="195">
        <v>1</v>
      </c>
      <c r="B6" s="195">
        <v>5</v>
      </c>
      <c r="C6" s="195" t="s">
        <v>372</v>
      </c>
      <c r="D6" s="64">
        <v>13485</v>
      </c>
      <c r="E6" s="195" t="s">
        <v>373</v>
      </c>
      <c r="F6" s="71" t="s">
        <v>367</v>
      </c>
      <c r="G6" s="71" t="s">
        <v>369</v>
      </c>
      <c r="H6" s="71" t="s">
        <v>371</v>
      </c>
      <c r="I6" s="71" t="s">
        <v>374</v>
      </c>
    </row>
    <row r="7" spans="1:10" ht="87" x14ac:dyDescent="0.35">
      <c r="A7" s="195">
        <v>1</v>
      </c>
      <c r="B7" s="195">
        <v>6</v>
      </c>
      <c r="C7" s="195" t="s">
        <v>375</v>
      </c>
      <c r="D7" s="64">
        <v>14650</v>
      </c>
      <c r="E7" s="195" t="s">
        <v>373</v>
      </c>
      <c r="F7" s="71" t="s">
        <v>367</v>
      </c>
      <c r="G7" s="71" t="s">
        <v>369</v>
      </c>
      <c r="H7" s="71" t="s">
        <v>371</v>
      </c>
      <c r="I7" s="71" t="s">
        <v>376</v>
      </c>
    </row>
    <row r="8" spans="1:10" ht="87" x14ac:dyDescent="0.35">
      <c r="A8" s="195">
        <v>1</v>
      </c>
      <c r="B8" s="195">
        <v>7</v>
      </c>
      <c r="C8" s="195" t="s">
        <v>377</v>
      </c>
      <c r="D8" s="64">
        <v>2555</v>
      </c>
      <c r="E8" s="195" t="s">
        <v>373</v>
      </c>
      <c r="F8" s="71" t="s">
        <v>367</v>
      </c>
      <c r="G8" s="71" t="s">
        <v>369</v>
      </c>
      <c r="H8" s="71" t="s">
        <v>371</v>
      </c>
      <c r="I8" s="71" t="s">
        <v>378</v>
      </c>
    </row>
    <row r="9" spans="1:10" ht="87" x14ac:dyDescent="0.35">
      <c r="A9" s="195">
        <v>1</v>
      </c>
      <c r="B9" s="195">
        <v>8</v>
      </c>
      <c r="C9" s="195" t="s">
        <v>379</v>
      </c>
      <c r="D9" s="195">
        <v>70</v>
      </c>
      <c r="E9" s="195" t="s">
        <v>373</v>
      </c>
      <c r="F9" s="71" t="s">
        <v>367</v>
      </c>
      <c r="G9" s="71" t="s">
        <v>369</v>
      </c>
      <c r="H9" s="71" t="s">
        <v>371</v>
      </c>
      <c r="I9" s="71" t="s">
        <v>380</v>
      </c>
    </row>
    <row r="10" spans="1:10" ht="87" x14ac:dyDescent="0.35">
      <c r="A10" s="195">
        <v>1</v>
      </c>
      <c r="B10" s="195">
        <v>9</v>
      </c>
      <c r="C10" s="195" t="s">
        <v>381</v>
      </c>
      <c r="D10" s="195">
        <v>0</v>
      </c>
      <c r="E10" s="195" t="s">
        <v>373</v>
      </c>
      <c r="F10" s="71" t="s">
        <v>367</v>
      </c>
      <c r="G10" s="71" t="s">
        <v>369</v>
      </c>
      <c r="H10" s="71" t="s">
        <v>371</v>
      </c>
      <c r="I10" s="71" t="s">
        <v>382</v>
      </c>
    </row>
    <row r="11" spans="1:10" ht="87" x14ac:dyDescent="0.35">
      <c r="A11" s="195">
        <v>1</v>
      </c>
      <c r="B11" s="195">
        <v>10</v>
      </c>
      <c r="C11" s="195" t="s">
        <v>383</v>
      </c>
      <c r="D11" s="64">
        <v>8205</v>
      </c>
      <c r="E11" s="195" t="s">
        <v>373</v>
      </c>
      <c r="F11" s="71" t="s">
        <v>367</v>
      </c>
      <c r="G11" s="71" t="s">
        <v>369</v>
      </c>
      <c r="H11" s="71" t="s">
        <v>371</v>
      </c>
      <c r="I11" s="71" t="s">
        <v>384</v>
      </c>
    </row>
    <row r="12" spans="1:10" ht="87" x14ac:dyDescent="0.35">
      <c r="A12" s="195">
        <v>1</v>
      </c>
      <c r="B12" s="195">
        <v>11</v>
      </c>
      <c r="C12" s="195" t="s">
        <v>385</v>
      </c>
      <c r="D12" s="195">
        <v>345</v>
      </c>
      <c r="E12" s="195" t="s">
        <v>373</v>
      </c>
      <c r="F12" s="71" t="s">
        <v>367</v>
      </c>
      <c r="G12" s="71" t="s">
        <v>369</v>
      </c>
      <c r="H12" s="71" t="s">
        <v>371</v>
      </c>
      <c r="I12" s="71" t="s">
        <v>386</v>
      </c>
    </row>
    <row r="13" spans="1:10" ht="87" x14ac:dyDescent="0.35">
      <c r="A13" s="195">
        <v>1</v>
      </c>
      <c r="B13" s="195">
        <v>12</v>
      </c>
      <c r="C13" s="195" t="s">
        <v>387</v>
      </c>
      <c r="D13" s="64">
        <v>35605</v>
      </c>
      <c r="E13" s="195" t="s">
        <v>366</v>
      </c>
      <c r="F13" s="71" t="s">
        <v>367</v>
      </c>
      <c r="G13" s="71" t="s">
        <v>369</v>
      </c>
      <c r="H13" s="71" t="s">
        <v>388</v>
      </c>
      <c r="I13" s="71" t="s">
        <v>364</v>
      </c>
    </row>
    <row r="14" spans="1:10" ht="87" x14ac:dyDescent="0.35">
      <c r="A14" s="195">
        <v>1</v>
      </c>
      <c r="B14" s="195">
        <v>13</v>
      </c>
      <c r="C14" s="195" t="s">
        <v>389</v>
      </c>
      <c r="D14" s="64">
        <v>11210</v>
      </c>
      <c r="E14" s="195" t="s">
        <v>373</v>
      </c>
      <c r="F14" s="71" t="s">
        <v>367</v>
      </c>
      <c r="G14" s="71" t="s">
        <v>369</v>
      </c>
      <c r="H14" s="71" t="s">
        <v>388</v>
      </c>
      <c r="I14" s="71" t="s">
        <v>374</v>
      </c>
    </row>
    <row r="15" spans="1:10" ht="87" x14ac:dyDescent="0.35">
      <c r="A15" s="195">
        <v>1</v>
      </c>
      <c r="B15" s="195">
        <v>14</v>
      </c>
      <c r="C15" s="195" t="s">
        <v>390</v>
      </c>
      <c r="D15" s="64">
        <v>10145</v>
      </c>
      <c r="E15" s="195" t="s">
        <v>373</v>
      </c>
      <c r="F15" s="71" t="s">
        <v>367</v>
      </c>
      <c r="G15" s="71" t="s">
        <v>369</v>
      </c>
      <c r="H15" s="71" t="s">
        <v>388</v>
      </c>
      <c r="I15" s="71" t="s">
        <v>376</v>
      </c>
    </row>
    <row r="16" spans="1:10" ht="87" x14ac:dyDescent="0.35">
      <c r="A16" s="195">
        <v>1</v>
      </c>
      <c r="B16" s="195">
        <v>15</v>
      </c>
      <c r="C16" s="195" t="s">
        <v>391</v>
      </c>
      <c r="D16" s="64">
        <v>2035</v>
      </c>
      <c r="E16" s="195" t="s">
        <v>373</v>
      </c>
      <c r="F16" s="71" t="s">
        <v>367</v>
      </c>
      <c r="G16" s="71" t="s">
        <v>369</v>
      </c>
      <c r="H16" s="71" t="s">
        <v>388</v>
      </c>
      <c r="I16" s="71" t="s">
        <v>378</v>
      </c>
    </row>
    <row r="17" spans="1:9" ht="87" x14ac:dyDescent="0.35">
      <c r="A17" s="195">
        <v>1</v>
      </c>
      <c r="B17" s="195">
        <v>16</v>
      </c>
      <c r="C17" s="195" t="s">
        <v>392</v>
      </c>
      <c r="D17" s="195">
        <v>10</v>
      </c>
      <c r="E17" s="195" t="s">
        <v>373</v>
      </c>
      <c r="F17" s="71" t="s">
        <v>367</v>
      </c>
      <c r="G17" s="71" t="s">
        <v>369</v>
      </c>
      <c r="H17" s="71" t="s">
        <v>388</v>
      </c>
      <c r="I17" s="71" t="s">
        <v>380</v>
      </c>
    </row>
    <row r="18" spans="1:9" ht="87" x14ac:dyDescent="0.35">
      <c r="A18" s="195">
        <v>1</v>
      </c>
      <c r="B18" s="195">
        <v>17</v>
      </c>
      <c r="C18" s="195" t="s">
        <v>393</v>
      </c>
      <c r="D18" s="195">
        <v>10</v>
      </c>
      <c r="E18" s="195" t="s">
        <v>373</v>
      </c>
      <c r="F18" s="71" t="s">
        <v>367</v>
      </c>
      <c r="G18" s="71" t="s">
        <v>369</v>
      </c>
      <c r="H18" s="71" t="s">
        <v>388</v>
      </c>
      <c r="I18" s="71" t="s">
        <v>382</v>
      </c>
    </row>
    <row r="19" spans="1:9" ht="87" x14ac:dyDescent="0.35">
      <c r="A19" s="195">
        <v>1</v>
      </c>
      <c r="B19" s="195">
        <v>18</v>
      </c>
      <c r="C19" s="195" t="s">
        <v>394</v>
      </c>
      <c r="D19" s="64">
        <v>11995</v>
      </c>
      <c r="E19" s="195" t="s">
        <v>373</v>
      </c>
      <c r="F19" s="71" t="s">
        <v>367</v>
      </c>
      <c r="G19" s="71" t="s">
        <v>369</v>
      </c>
      <c r="H19" s="71" t="s">
        <v>388</v>
      </c>
      <c r="I19" s="71" t="s">
        <v>384</v>
      </c>
    </row>
    <row r="20" spans="1:9" ht="87" x14ac:dyDescent="0.35">
      <c r="A20" s="195">
        <v>1</v>
      </c>
      <c r="B20" s="195">
        <v>19</v>
      </c>
      <c r="C20" s="195" t="s">
        <v>395</v>
      </c>
      <c r="D20" s="195">
        <v>200</v>
      </c>
      <c r="E20" s="195" t="s">
        <v>373</v>
      </c>
      <c r="F20" s="71" t="s">
        <v>367</v>
      </c>
      <c r="G20" s="71" t="s">
        <v>369</v>
      </c>
      <c r="H20" s="71" t="s">
        <v>388</v>
      </c>
      <c r="I20" s="71" t="s">
        <v>386</v>
      </c>
    </row>
    <row r="21" spans="1:9" ht="87" x14ac:dyDescent="0.35">
      <c r="A21" s="195">
        <v>1</v>
      </c>
      <c r="B21" s="195">
        <v>20</v>
      </c>
      <c r="C21" s="195" t="s">
        <v>396</v>
      </c>
      <c r="D21" s="64">
        <v>37090</v>
      </c>
      <c r="E21" s="195" t="s">
        <v>366</v>
      </c>
      <c r="F21" s="71" t="s">
        <v>367</v>
      </c>
      <c r="G21" s="71" t="s">
        <v>369</v>
      </c>
      <c r="H21" s="71" t="s">
        <v>397</v>
      </c>
      <c r="I21" s="71" t="s">
        <v>364</v>
      </c>
    </row>
    <row r="22" spans="1:9" ht="87" x14ac:dyDescent="0.35">
      <c r="A22" s="195">
        <v>1</v>
      </c>
      <c r="B22" s="195">
        <v>21</v>
      </c>
      <c r="C22" s="195" t="s">
        <v>398</v>
      </c>
      <c r="D22" s="64">
        <v>12155</v>
      </c>
      <c r="E22" s="195" t="s">
        <v>373</v>
      </c>
      <c r="F22" s="71" t="s">
        <v>367</v>
      </c>
      <c r="G22" s="71" t="s">
        <v>369</v>
      </c>
      <c r="H22" s="71" t="s">
        <v>397</v>
      </c>
      <c r="I22" s="71" t="s">
        <v>374</v>
      </c>
    </row>
    <row r="23" spans="1:9" ht="87" x14ac:dyDescent="0.35">
      <c r="A23" s="195">
        <v>1</v>
      </c>
      <c r="B23" s="195">
        <v>22</v>
      </c>
      <c r="C23" s="195" t="s">
        <v>399</v>
      </c>
      <c r="D23" s="64">
        <v>9520</v>
      </c>
      <c r="E23" s="195" t="s">
        <v>373</v>
      </c>
      <c r="F23" s="71" t="s">
        <v>367</v>
      </c>
      <c r="G23" s="71" t="s">
        <v>369</v>
      </c>
      <c r="H23" s="71" t="s">
        <v>397</v>
      </c>
      <c r="I23" s="71" t="s">
        <v>376</v>
      </c>
    </row>
    <row r="24" spans="1:9" ht="87" x14ac:dyDescent="0.35">
      <c r="A24" s="195">
        <v>1</v>
      </c>
      <c r="B24" s="195">
        <v>23</v>
      </c>
      <c r="C24" s="195" t="s">
        <v>400</v>
      </c>
      <c r="D24" s="64">
        <v>1775</v>
      </c>
      <c r="E24" s="195" t="s">
        <v>373</v>
      </c>
      <c r="F24" s="71" t="s">
        <v>367</v>
      </c>
      <c r="G24" s="71" t="s">
        <v>369</v>
      </c>
      <c r="H24" s="71" t="s">
        <v>397</v>
      </c>
      <c r="I24" s="71" t="s">
        <v>378</v>
      </c>
    </row>
    <row r="25" spans="1:9" ht="87" x14ac:dyDescent="0.35">
      <c r="A25" s="195">
        <v>1</v>
      </c>
      <c r="B25" s="195">
        <v>24</v>
      </c>
      <c r="C25" s="195" t="s">
        <v>401</v>
      </c>
      <c r="D25" s="195">
        <v>55</v>
      </c>
      <c r="E25" s="195" t="s">
        <v>373</v>
      </c>
      <c r="F25" s="71" t="s">
        <v>367</v>
      </c>
      <c r="G25" s="71" t="s">
        <v>369</v>
      </c>
      <c r="H25" s="71" t="s">
        <v>397</v>
      </c>
      <c r="I25" s="71" t="s">
        <v>380</v>
      </c>
    </row>
    <row r="26" spans="1:9" ht="87" x14ac:dyDescent="0.35">
      <c r="A26" s="195">
        <v>1</v>
      </c>
      <c r="B26" s="195">
        <v>25</v>
      </c>
      <c r="C26" s="195" t="s">
        <v>402</v>
      </c>
      <c r="D26" s="195">
        <v>0</v>
      </c>
      <c r="E26" s="195" t="s">
        <v>373</v>
      </c>
      <c r="F26" s="71" t="s">
        <v>367</v>
      </c>
      <c r="G26" s="71" t="s">
        <v>369</v>
      </c>
      <c r="H26" s="71" t="s">
        <v>397</v>
      </c>
      <c r="I26" s="71" t="s">
        <v>382</v>
      </c>
    </row>
    <row r="27" spans="1:9" ht="87" x14ac:dyDescent="0.35">
      <c r="A27" s="195">
        <v>1</v>
      </c>
      <c r="B27" s="195">
        <v>26</v>
      </c>
      <c r="C27" s="195" t="s">
        <v>403</v>
      </c>
      <c r="D27" s="64">
        <v>13195</v>
      </c>
      <c r="E27" s="195" t="s">
        <v>373</v>
      </c>
      <c r="F27" s="71" t="s">
        <v>367</v>
      </c>
      <c r="G27" s="71" t="s">
        <v>369</v>
      </c>
      <c r="H27" s="71" t="s">
        <v>397</v>
      </c>
      <c r="I27" s="71" t="s">
        <v>384</v>
      </c>
    </row>
    <row r="28" spans="1:9" ht="87" x14ac:dyDescent="0.35">
      <c r="A28" s="195">
        <v>1</v>
      </c>
      <c r="B28" s="195">
        <v>27</v>
      </c>
      <c r="C28" s="195" t="s">
        <v>404</v>
      </c>
      <c r="D28" s="195">
        <v>395</v>
      </c>
      <c r="E28" s="195" t="s">
        <v>373</v>
      </c>
      <c r="F28" s="71" t="s">
        <v>367</v>
      </c>
      <c r="G28" s="71" t="s">
        <v>369</v>
      </c>
      <c r="H28" s="71" t="s">
        <v>397</v>
      </c>
      <c r="I28" s="71" t="s">
        <v>386</v>
      </c>
    </row>
    <row r="29" spans="1:9" ht="87" x14ac:dyDescent="0.35">
      <c r="A29" s="195">
        <v>1</v>
      </c>
      <c r="B29" s="195">
        <v>28</v>
      </c>
      <c r="C29" s="195" t="s">
        <v>405</v>
      </c>
      <c r="D29" s="64">
        <v>16555</v>
      </c>
      <c r="E29" s="195" t="s">
        <v>366</v>
      </c>
      <c r="F29" s="71" t="s">
        <v>367</v>
      </c>
      <c r="G29" s="71" t="s">
        <v>369</v>
      </c>
      <c r="H29" s="71" t="s">
        <v>406</v>
      </c>
      <c r="I29" s="71" t="s">
        <v>364</v>
      </c>
    </row>
    <row r="30" spans="1:9" ht="87" x14ac:dyDescent="0.35">
      <c r="A30" s="195">
        <v>1</v>
      </c>
      <c r="B30" s="195">
        <v>29</v>
      </c>
      <c r="C30" s="195" t="s">
        <v>407</v>
      </c>
      <c r="D30" s="64">
        <v>7135</v>
      </c>
      <c r="E30" s="195" t="s">
        <v>373</v>
      </c>
      <c r="F30" s="71" t="s">
        <v>367</v>
      </c>
      <c r="G30" s="71" t="s">
        <v>369</v>
      </c>
      <c r="H30" s="71" t="s">
        <v>406</v>
      </c>
      <c r="I30" s="71" t="s">
        <v>374</v>
      </c>
    </row>
    <row r="31" spans="1:9" ht="87" x14ac:dyDescent="0.35">
      <c r="A31" s="195">
        <v>1</v>
      </c>
      <c r="B31" s="195">
        <v>30</v>
      </c>
      <c r="C31" s="195" t="s">
        <v>408</v>
      </c>
      <c r="D31" s="64">
        <v>3375</v>
      </c>
      <c r="E31" s="195" t="s">
        <v>373</v>
      </c>
      <c r="F31" s="71" t="s">
        <v>367</v>
      </c>
      <c r="G31" s="71" t="s">
        <v>369</v>
      </c>
      <c r="H31" s="71" t="s">
        <v>406</v>
      </c>
      <c r="I31" s="71" t="s">
        <v>376</v>
      </c>
    </row>
    <row r="32" spans="1:9" ht="87" x14ac:dyDescent="0.35">
      <c r="A32" s="195">
        <v>1</v>
      </c>
      <c r="B32" s="195">
        <v>31</v>
      </c>
      <c r="C32" s="195" t="s">
        <v>409</v>
      </c>
      <c r="D32" s="64">
        <v>1135</v>
      </c>
      <c r="E32" s="195" t="s">
        <v>373</v>
      </c>
      <c r="F32" s="71" t="s">
        <v>367</v>
      </c>
      <c r="G32" s="71" t="s">
        <v>369</v>
      </c>
      <c r="H32" s="71" t="s">
        <v>406</v>
      </c>
      <c r="I32" s="71" t="s">
        <v>378</v>
      </c>
    </row>
    <row r="33" spans="1:9" ht="87" x14ac:dyDescent="0.35">
      <c r="A33" s="195">
        <v>1</v>
      </c>
      <c r="B33" s="195">
        <v>32</v>
      </c>
      <c r="C33" s="195" t="s">
        <v>410</v>
      </c>
      <c r="D33" s="195">
        <v>0</v>
      </c>
      <c r="E33" s="195" t="s">
        <v>373</v>
      </c>
      <c r="F33" s="71" t="s">
        <v>367</v>
      </c>
      <c r="G33" s="71" t="s">
        <v>369</v>
      </c>
      <c r="H33" s="71" t="s">
        <v>406</v>
      </c>
      <c r="I33" s="71" t="s">
        <v>380</v>
      </c>
    </row>
    <row r="34" spans="1:9" ht="87" x14ac:dyDescent="0.35">
      <c r="A34" s="195">
        <v>1</v>
      </c>
      <c r="B34" s="195">
        <v>33</v>
      </c>
      <c r="C34" s="195" t="s">
        <v>411</v>
      </c>
      <c r="D34" s="195">
        <v>0</v>
      </c>
      <c r="E34" s="195" t="s">
        <v>373</v>
      </c>
      <c r="F34" s="71" t="s">
        <v>367</v>
      </c>
      <c r="G34" s="71" t="s">
        <v>369</v>
      </c>
      <c r="H34" s="71" t="s">
        <v>406</v>
      </c>
      <c r="I34" s="71" t="s">
        <v>382</v>
      </c>
    </row>
    <row r="35" spans="1:9" ht="87" x14ac:dyDescent="0.35">
      <c r="A35" s="195">
        <v>1</v>
      </c>
      <c r="B35" s="195">
        <v>34</v>
      </c>
      <c r="C35" s="195" t="s">
        <v>412</v>
      </c>
      <c r="D35" s="64">
        <v>4775</v>
      </c>
      <c r="E35" s="195" t="s">
        <v>373</v>
      </c>
      <c r="F35" s="71" t="s">
        <v>367</v>
      </c>
      <c r="G35" s="71" t="s">
        <v>369</v>
      </c>
      <c r="H35" s="71" t="s">
        <v>406</v>
      </c>
      <c r="I35" s="71" t="s">
        <v>384</v>
      </c>
    </row>
    <row r="36" spans="1:9" ht="87" x14ac:dyDescent="0.35">
      <c r="A36" s="195">
        <v>1</v>
      </c>
      <c r="B36" s="195">
        <v>35</v>
      </c>
      <c r="C36" s="195" t="s">
        <v>413</v>
      </c>
      <c r="D36" s="195">
        <v>135</v>
      </c>
      <c r="E36" s="195" t="s">
        <v>373</v>
      </c>
      <c r="F36" s="71" t="s">
        <v>367</v>
      </c>
      <c r="G36" s="71" t="s">
        <v>369</v>
      </c>
      <c r="H36" s="71" t="s">
        <v>406</v>
      </c>
      <c r="I36" s="71" t="s">
        <v>386</v>
      </c>
    </row>
    <row r="37" spans="1:9" ht="87" x14ac:dyDescent="0.35">
      <c r="A37" s="195">
        <v>1</v>
      </c>
      <c r="B37" s="195">
        <v>36</v>
      </c>
      <c r="C37" s="195" t="s">
        <v>414</v>
      </c>
      <c r="D37" s="64">
        <v>29955</v>
      </c>
      <c r="E37" s="195" t="s">
        <v>366</v>
      </c>
      <c r="F37" s="71" t="s">
        <v>367</v>
      </c>
      <c r="G37" s="71" t="s">
        <v>369</v>
      </c>
      <c r="H37" s="71" t="s">
        <v>415</v>
      </c>
      <c r="I37" s="71" t="s">
        <v>364</v>
      </c>
    </row>
    <row r="38" spans="1:9" ht="87" x14ac:dyDescent="0.35">
      <c r="A38" s="195">
        <v>1</v>
      </c>
      <c r="B38" s="195">
        <v>37</v>
      </c>
      <c r="C38" s="195" t="s">
        <v>416</v>
      </c>
      <c r="D38" s="64">
        <v>17795</v>
      </c>
      <c r="E38" s="195" t="s">
        <v>373</v>
      </c>
      <c r="F38" s="71" t="s">
        <v>367</v>
      </c>
      <c r="G38" s="71" t="s">
        <v>369</v>
      </c>
      <c r="H38" s="71" t="s">
        <v>415</v>
      </c>
      <c r="I38" s="71" t="s">
        <v>374</v>
      </c>
    </row>
    <row r="39" spans="1:9" ht="87" x14ac:dyDescent="0.35">
      <c r="A39" s="195">
        <v>1</v>
      </c>
      <c r="B39" s="195">
        <v>38</v>
      </c>
      <c r="C39" s="195" t="s">
        <v>417</v>
      </c>
      <c r="D39" s="64">
        <v>4515</v>
      </c>
      <c r="E39" s="195" t="s">
        <v>373</v>
      </c>
      <c r="F39" s="71" t="s">
        <v>367</v>
      </c>
      <c r="G39" s="71" t="s">
        <v>369</v>
      </c>
      <c r="H39" s="71" t="s">
        <v>415</v>
      </c>
      <c r="I39" s="71" t="s">
        <v>376</v>
      </c>
    </row>
    <row r="40" spans="1:9" ht="87" x14ac:dyDescent="0.35">
      <c r="A40" s="195">
        <v>1</v>
      </c>
      <c r="B40" s="195">
        <v>39</v>
      </c>
      <c r="C40" s="195" t="s">
        <v>418</v>
      </c>
      <c r="D40" s="64">
        <v>2515</v>
      </c>
      <c r="E40" s="195" t="s">
        <v>373</v>
      </c>
      <c r="F40" s="71" t="s">
        <v>367</v>
      </c>
      <c r="G40" s="71" t="s">
        <v>369</v>
      </c>
      <c r="H40" s="71" t="s">
        <v>415</v>
      </c>
      <c r="I40" s="71" t="s">
        <v>378</v>
      </c>
    </row>
    <row r="41" spans="1:9" ht="87" x14ac:dyDescent="0.35">
      <c r="A41" s="195">
        <v>1</v>
      </c>
      <c r="B41" s="195">
        <v>40</v>
      </c>
      <c r="C41" s="195" t="s">
        <v>419</v>
      </c>
      <c r="D41" s="195">
        <v>20</v>
      </c>
      <c r="E41" s="195" t="s">
        <v>373</v>
      </c>
      <c r="F41" s="71" t="s">
        <v>367</v>
      </c>
      <c r="G41" s="71" t="s">
        <v>369</v>
      </c>
      <c r="H41" s="71" t="s">
        <v>415</v>
      </c>
      <c r="I41" s="71" t="s">
        <v>380</v>
      </c>
    </row>
    <row r="42" spans="1:9" ht="87" x14ac:dyDescent="0.35">
      <c r="A42" s="195">
        <v>1</v>
      </c>
      <c r="B42" s="195">
        <v>41</v>
      </c>
      <c r="C42" s="195" t="s">
        <v>420</v>
      </c>
      <c r="D42" s="195">
        <v>0</v>
      </c>
      <c r="E42" s="195" t="s">
        <v>373</v>
      </c>
      <c r="F42" s="71" t="s">
        <v>367</v>
      </c>
      <c r="G42" s="71" t="s">
        <v>369</v>
      </c>
      <c r="H42" s="71" t="s">
        <v>415</v>
      </c>
      <c r="I42" s="71" t="s">
        <v>382</v>
      </c>
    </row>
    <row r="43" spans="1:9" ht="87" x14ac:dyDescent="0.35">
      <c r="A43" s="195">
        <v>1</v>
      </c>
      <c r="B43" s="195">
        <v>42</v>
      </c>
      <c r="C43" s="195" t="s">
        <v>421</v>
      </c>
      <c r="D43" s="64">
        <v>4820</v>
      </c>
      <c r="E43" s="195" t="s">
        <v>373</v>
      </c>
      <c r="F43" s="71" t="s">
        <v>367</v>
      </c>
      <c r="G43" s="71" t="s">
        <v>369</v>
      </c>
      <c r="H43" s="71" t="s">
        <v>415</v>
      </c>
      <c r="I43" s="71" t="s">
        <v>384</v>
      </c>
    </row>
    <row r="44" spans="1:9" ht="87" x14ac:dyDescent="0.35">
      <c r="A44" s="195">
        <v>1</v>
      </c>
      <c r="B44" s="195">
        <v>43</v>
      </c>
      <c r="C44" s="195" t="s">
        <v>422</v>
      </c>
      <c r="D44" s="195">
        <v>285</v>
      </c>
      <c r="E44" s="195" t="s">
        <v>373</v>
      </c>
      <c r="F44" s="71" t="s">
        <v>367</v>
      </c>
      <c r="G44" s="71" t="s">
        <v>369</v>
      </c>
      <c r="H44" s="71" t="s">
        <v>415</v>
      </c>
      <c r="I44" s="71" t="s">
        <v>386</v>
      </c>
    </row>
    <row r="45" spans="1:9" ht="29" x14ac:dyDescent="0.35">
      <c r="A45" s="195">
        <v>1</v>
      </c>
      <c r="B45" s="195">
        <v>44</v>
      </c>
      <c r="C45" s="195" t="s">
        <v>423</v>
      </c>
      <c r="D45" s="64">
        <v>296825</v>
      </c>
      <c r="E45" s="195" t="s">
        <v>366</v>
      </c>
      <c r="F45" s="71" t="s">
        <v>367</v>
      </c>
      <c r="G45" s="71" t="s">
        <v>424</v>
      </c>
      <c r="H45" s="71" t="s">
        <v>363</v>
      </c>
      <c r="I45" s="71" t="s">
        <v>364</v>
      </c>
    </row>
    <row r="46" spans="1:9" ht="29" x14ac:dyDescent="0.35">
      <c r="A46" s="195">
        <v>1</v>
      </c>
      <c r="B46" s="195">
        <v>45</v>
      </c>
      <c r="C46" s="195" t="s">
        <v>425</v>
      </c>
      <c r="D46" s="64">
        <v>4585</v>
      </c>
      <c r="E46" s="195" t="s">
        <v>366</v>
      </c>
      <c r="F46" s="71" t="s">
        <v>367</v>
      </c>
      <c r="G46" s="71" t="s">
        <v>424</v>
      </c>
      <c r="H46" s="71" t="s">
        <v>371</v>
      </c>
      <c r="I46" s="71" t="s">
        <v>364</v>
      </c>
    </row>
    <row r="47" spans="1:9" ht="29" x14ac:dyDescent="0.35">
      <c r="A47" s="195">
        <v>1</v>
      </c>
      <c r="B47" s="195">
        <v>46</v>
      </c>
      <c r="C47" s="195" t="s">
        <v>426</v>
      </c>
      <c r="D47" s="64">
        <v>1605</v>
      </c>
      <c r="E47" s="195" t="s">
        <v>373</v>
      </c>
      <c r="F47" s="71" t="s">
        <v>367</v>
      </c>
      <c r="G47" s="71" t="s">
        <v>424</v>
      </c>
      <c r="H47" s="71" t="s">
        <v>371</v>
      </c>
      <c r="I47" s="71" t="s">
        <v>374</v>
      </c>
    </row>
    <row r="48" spans="1:9" ht="29" x14ac:dyDescent="0.35">
      <c r="A48" s="195">
        <v>1</v>
      </c>
      <c r="B48" s="195">
        <v>47</v>
      </c>
      <c r="C48" s="195" t="s">
        <v>427</v>
      </c>
      <c r="D48" s="64">
        <v>1855</v>
      </c>
      <c r="E48" s="195" t="s">
        <v>373</v>
      </c>
      <c r="F48" s="71" t="s">
        <v>367</v>
      </c>
      <c r="G48" s="71" t="s">
        <v>424</v>
      </c>
      <c r="H48" s="71" t="s">
        <v>371</v>
      </c>
      <c r="I48" s="71" t="s">
        <v>376</v>
      </c>
    </row>
    <row r="49" spans="1:9" ht="29" x14ac:dyDescent="0.35">
      <c r="A49" s="195">
        <v>1</v>
      </c>
      <c r="B49" s="195">
        <v>48</v>
      </c>
      <c r="C49" s="195" t="s">
        <v>428</v>
      </c>
      <c r="D49" s="195">
        <v>215</v>
      </c>
      <c r="E49" s="195" t="s">
        <v>373</v>
      </c>
      <c r="F49" s="71" t="s">
        <v>367</v>
      </c>
      <c r="G49" s="71" t="s">
        <v>424</v>
      </c>
      <c r="H49" s="71" t="s">
        <v>371</v>
      </c>
      <c r="I49" s="71" t="s">
        <v>378</v>
      </c>
    </row>
    <row r="50" spans="1:9" ht="29" x14ac:dyDescent="0.35">
      <c r="A50" s="195">
        <v>1</v>
      </c>
      <c r="B50" s="195">
        <v>49</v>
      </c>
      <c r="C50" s="195" t="s">
        <v>429</v>
      </c>
      <c r="D50" s="195">
        <v>0</v>
      </c>
      <c r="E50" s="195" t="s">
        <v>373</v>
      </c>
      <c r="F50" s="71" t="s">
        <v>367</v>
      </c>
      <c r="G50" s="71" t="s">
        <v>424</v>
      </c>
      <c r="H50" s="71" t="s">
        <v>371</v>
      </c>
      <c r="I50" s="71" t="s">
        <v>380</v>
      </c>
    </row>
    <row r="51" spans="1:9" ht="29" x14ac:dyDescent="0.35">
      <c r="A51" s="195">
        <v>1</v>
      </c>
      <c r="B51" s="195">
        <v>50</v>
      </c>
      <c r="C51" s="195" t="s">
        <v>430</v>
      </c>
      <c r="D51" s="195">
        <v>10</v>
      </c>
      <c r="E51" s="195" t="s">
        <v>373</v>
      </c>
      <c r="F51" s="71" t="s">
        <v>367</v>
      </c>
      <c r="G51" s="71" t="s">
        <v>424</v>
      </c>
      <c r="H51" s="71" t="s">
        <v>371</v>
      </c>
      <c r="I51" s="71" t="s">
        <v>382</v>
      </c>
    </row>
    <row r="52" spans="1:9" ht="29" x14ac:dyDescent="0.35">
      <c r="A52" s="195">
        <v>1</v>
      </c>
      <c r="B52" s="195">
        <v>51</v>
      </c>
      <c r="C52" s="195" t="s">
        <v>431</v>
      </c>
      <c r="D52" s="64">
        <v>810</v>
      </c>
      <c r="E52" s="195" t="s">
        <v>373</v>
      </c>
      <c r="F52" s="71" t="s">
        <v>367</v>
      </c>
      <c r="G52" s="71" t="s">
        <v>424</v>
      </c>
      <c r="H52" s="71" t="s">
        <v>371</v>
      </c>
      <c r="I52" s="71" t="s">
        <v>384</v>
      </c>
    </row>
    <row r="53" spans="1:9" ht="29" x14ac:dyDescent="0.35">
      <c r="A53" s="195">
        <v>1</v>
      </c>
      <c r="B53" s="195">
        <v>52</v>
      </c>
      <c r="C53" s="195" t="s">
        <v>432</v>
      </c>
      <c r="D53" s="195">
        <v>95</v>
      </c>
      <c r="E53" s="195" t="s">
        <v>373</v>
      </c>
      <c r="F53" s="71" t="s">
        <v>367</v>
      </c>
      <c r="G53" s="71" t="s">
        <v>424</v>
      </c>
      <c r="H53" s="71" t="s">
        <v>371</v>
      </c>
      <c r="I53" s="71" t="s">
        <v>386</v>
      </c>
    </row>
    <row r="54" spans="1:9" ht="43.5" x14ac:dyDescent="0.35">
      <c r="A54" s="195">
        <v>1</v>
      </c>
      <c r="B54" s="195">
        <v>53</v>
      </c>
      <c r="C54" s="195" t="s">
        <v>433</v>
      </c>
      <c r="D54" s="64">
        <v>16090</v>
      </c>
      <c r="E54" s="195" t="s">
        <v>366</v>
      </c>
      <c r="F54" s="71" t="s">
        <v>367</v>
      </c>
      <c r="G54" s="71" t="s">
        <v>424</v>
      </c>
      <c r="H54" s="71" t="s">
        <v>388</v>
      </c>
      <c r="I54" s="71" t="s">
        <v>364</v>
      </c>
    </row>
    <row r="55" spans="1:9" ht="43.5" x14ac:dyDescent="0.35">
      <c r="A55" s="195">
        <v>1</v>
      </c>
      <c r="B55" s="195">
        <v>54</v>
      </c>
      <c r="C55" s="195" t="s">
        <v>434</v>
      </c>
      <c r="D55" s="64">
        <v>6305</v>
      </c>
      <c r="E55" s="195" t="s">
        <v>373</v>
      </c>
      <c r="F55" s="71" t="s">
        <v>367</v>
      </c>
      <c r="G55" s="71" t="s">
        <v>424</v>
      </c>
      <c r="H55" s="71" t="s">
        <v>388</v>
      </c>
      <c r="I55" s="71" t="s">
        <v>374</v>
      </c>
    </row>
    <row r="56" spans="1:9" ht="43.5" x14ac:dyDescent="0.35">
      <c r="A56" s="195">
        <v>1</v>
      </c>
      <c r="B56" s="195">
        <v>55</v>
      </c>
      <c r="C56" s="195" t="s">
        <v>435</v>
      </c>
      <c r="D56" s="64">
        <v>5540</v>
      </c>
      <c r="E56" s="195" t="s">
        <v>373</v>
      </c>
      <c r="F56" s="71" t="s">
        <v>367</v>
      </c>
      <c r="G56" s="71" t="s">
        <v>424</v>
      </c>
      <c r="H56" s="71" t="s">
        <v>388</v>
      </c>
      <c r="I56" s="71" t="s">
        <v>376</v>
      </c>
    </row>
    <row r="57" spans="1:9" ht="43.5" x14ac:dyDescent="0.35">
      <c r="A57" s="195">
        <v>1</v>
      </c>
      <c r="B57" s="195">
        <v>56</v>
      </c>
      <c r="C57" s="195" t="s">
        <v>436</v>
      </c>
      <c r="D57" s="64">
        <v>630</v>
      </c>
      <c r="E57" s="195" t="s">
        <v>373</v>
      </c>
      <c r="F57" s="71" t="s">
        <v>367</v>
      </c>
      <c r="G57" s="71" t="s">
        <v>424</v>
      </c>
      <c r="H57" s="71" t="s">
        <v>388</v>
      </c>
      <c r="I57" s="71" t="s">
        <v>378</v>
      </c>
    </row>
    <row r="58" spans="1:9" ht="43.5" x14ac:dyDescent="0.35">
      <c r="A58" s="195">
        <v>1</v>
      </c>
      <c r="B58" s="195">
        <v>57</v>
      </c>
      <c r="C58" s="195" t="s">
        <v>437</v>
      </c>
      <c r="D58" s="195">
        <v>0</v>
      </c>
      <c r="E58" s="195" t="s">
        <v>373</v>
      </c>
      <c r="F58" s="71" t="s">
        <v>367</v>
      </c>
      <c r="G58" s="71" t="s">
        <v>424</v>
      </c>
      <c r="H58" s="71" t="s">
        <v>388</v>
      </c>
      <c r="I58" s="71" t="s">
        <v>380</v>
      </c>
    </row>
    <row r="59" spans="1:9" ht="43.5" x14ac:dyDescent="0.35">
      <c r="A59" s="195">
        <v>1</v>
      </c>
      <c r="B59" s="195">
        <v>58</v>
      </c>
      <c r="C59" s="195" t="s">
        <v>438</v>
      </c>
      <c r="D59" s="195">
        <v>0</v>
      </c>
      <c r="E59" s="195" t="s">
        <v>373</v>
      </c>
      <c r="F59" s="71" t="s">
        <v>367</v>
      </c>
      <c r="G59" s="71" t="s">
        <v>424</v>
      </c>
      <c r="H59" s="71" t="s">
        <v>388</v>
      </c>
      <c r="I59" s="71" t="s">
        <v>382</v>
      </c>
    </row>
    <row r="60" spans="1:9" ht="43.5" x14ac:dyDescent="0.35">
      <c r="A60" s="195">
        <v>1</v>
      </c>
      <c r="B60" s="195">
        <v>59</v>
      </c>
      <c r="C60" s="195" t="s">
        <v>439</v>
      </c>
      <c r="D60" s="64">
        <v>3455</v>
      </c>
      <c r="E60" s="195" t="s">
        <v>373</v>
      </c>
      <c r="F60" s="71" t="s">
        <v>367</v>
      </c>
      <c r="G60" s="71" t="s">
        <v>424</v>
      </c>
      <c r="H60" s="71" t="s">
        <v>388</v>
      </c>
      <c r="I60" s="71" t="s">
        <v>384</v>
      </c>
    </row>
    <row r="61" spans="1:9" ht="43.5" x14ac:dyDescent="0.35">
      <c r="A61" s="195">
        <v>1</v>
      </c>
      <c r="B61" s="195">
        <v>60</v>
      </c>
      <c r="C61" s="195" t="s">
        <v>440</v>
      </c>
      <c r="D61" s="195">
        <v>160</v>
      </c>
      <c r="E61" s="195" t="s">
        <v>373</v>
      </c>
      <c r="F61" s="71" t="s">
        <v>367</v>
      </c>
      <c r="G61" s="71" t="s">
        <v>424</v>
      </c>
      <c r="H61" s="71" t="s">
        <v>388</v>
      </c>
      <c r="I61" s="71" t="s">
        <v>386</v>
      </c>
    </row>
    <row r="62" spans="1:9" ht="43.5" x14ac:dyDescent="0.35">
      <c r="A62" s="195">
        <v>1</v>
      </c>
      <c r="B62" s="195">
        <v>61</v>
      </c>
      <c r="C62" s="195" t="s">
        <v>441</v>
      </c>
      <c r="D62" s="64">
        <v>34130</v>
      </c>
      <c r="E62" s="195" t="s">
        <v>366</v>
      </c>
      <c r="F62" s="71" t="s">
        <v>367</v>
      </c>
      <c r="G62" s="71" t="s">
        <v>424</v>
      </c>
      <c r="H62" s="71" t="s">
        <v>397</v>
      </c>
      <c r="I62" s="71" t="s">
        <v>364</v>
      </c>
    </row>
    <row r="63" spans="1:9" ht="43.5" x14ac:dyDescent="0.35">
      <c r="A63" s="195">
        <v>1</v>
      </c>
      <c r="B63" s="195">
        <v>62</v>
      </c>
      <c r="C63" s="195" t="s">
        <v>442</v>
      </c>
      <c r="D63" s="64">
        <v>12030</v>
      </c>
      <c r="E63" s="195" t="s">
        <v>373</v>
      </c>
      <c r="F63" s="71" t="s">
        <v>367</v>
      </c>
      <c r="G63" s="71" t="s">
        <v>424</v>
      </c>
      <c r="H63" s="71" t="s">
        <v>397</v>
      </c>
      <c r="I63" s="71" t="s">
        <v>374</v>
      </c>
    </row>
    <row r="64" spans="1:9" ht="43.5" x14ac:dyDescent="0.35">
      <c r="A64" s="195">
        <v>1</v>
      </c>
      <c r="B64" s="195">
        <v>63</v>
      </c>
      <c r="C64" s="195" t="s">
        <v>443</v>
      </c>
      <c r="D64" s="64">
        <v>10835</v>
      </c>
      <c r="E64" s="195" t="s">
        <v>373</v>
      </c>
      <c r="F64" s="71" t="s">
        <v>367</v>
      </c>
      <c r="G64" s="71" t="s">
        <v>424</v>
      </c>
      <c r="H64" s="71" t="s">
        <v>397</v>
      </c>
      <c r="I64" s="71" t="s">
        <v>376</v>
      </c>
    </row>
    <row r="65" spans="1:9" ht="43.5" x14ac:dyDescent="0.35">
      <c r="A65" s="195">
        <v>1</v>
      </c>
      <c r="B65" s="195">
        <v>64</v>
      </c>
      <c r="C65" s="195" t="s">
        <v>444</v>
      </c>
      <c r="D65" s="64">
        <v>1615</v>
      </c>
      <c r="E65" s="195" t="s">
        <v>373</v>
      </c>
      <c r="F65" s="71" t="s">
        <v>367</v>
      </c>
      <c r="G65" s="71" t="s">
        <v>424</v>
      </c>
      <c r="H65" s="71" t="s">
        <v>397</v>
      </c>
      <c r="I65" s="71" t="s">
        <v>378</v>
      </c>
    </row>
    <row r="66" spans="1:9" ht="43.5" x14ac:dyDescent="0.35">
      <c r="A66" s="195">
        <v>1</v>
      </c>
      <c r="B66" s="195">
        <v>65</v>
      </c>
      <c r="C66" s="195" t="s">
        <v>445</v>
      </c>
      <c r="D66" s="195">
        <v>35</v>
      </c>
      <c r="E66" s="195" t="s">
        <v>373</v>
      </c>
      <c r="F66" s="71" t="s">
        <v>367</v>
      </c>
      <c r="G66" s="71" t="s">
        <v>424</v>
      </c>
      <c r="H66" s="71" t="s">
        <v>397</v>
      </c>
      <c r="I66" s="71" t="s">
        <v>380</v>
      </c>
    </row>
    <row r="67" spans="1:9" ht="43.5" x14ac:dyDescent="0.35">
      <c r="A67" s="195">
        <v>1</v>
      </c>
      <c r="B67" s="195">
        <v>66</v>
      </c>
      <c r="C67" s="195" t="s">
        <v>446</v>
      </c>
      <c r="D67" s="195">
        <v>0</v>
      </c>
      <c r="E67" s="195" t="s">
        <v>373</v>
      </c>
      <c r="F67" s="71" t="s">
        <v>367</v>
      </c>
      <c r="G67" s="71" t="s">
        <v>424</v>
      </c>
      <c r="H67" s="71" t="s">
        <v>397</v>
      </c>
      <c r="I67" s="71" t="s">
        <v>382</v>
      </c>
    </row>
    <row r="68" spans="1:9" ht="43.5" x14ac:dyDescent="0.35">
      <c r="A68" s="195">
        <v>1</v>
      </c>
      <c r="B68" s="195">
        <v>67</v>
      </c>
      <c r="C68" s="195" t="s">
        <v>447</v>
      </c>
      <c r="D68" s="64">
        <v>9270</v>
      </c>
      <c r="E68" s="195" t="s">
        <v>373</v>
      </c>
      <c r="F68" s="71" t="s">
        <v>367</v>
      </c>
      <c r="G68" s="71" t="s">
        <v>424</v>
      </c>
      <c r="H68" s="71" t="s">
        <v>397</v>
      </c>
      <c r="I68" s="71" t="s">
        <v>384</v>
      </c>
    </row>
    <row r="69" spans="1:9" ht="43.5" x14ac:dyDescent="0.35">
      <c r="A69" s="195">
        <v>1</v>
      </c>
      <c r="B69" s="195">
        <v>68</v>
      </c>
      <c r="C69" s="195" t="s">
        <v>448</v>
      </c>
      <c r="D69" s="195">
        <v>350</v>
      </c>
      <c r="E69" s="195" t="s">
        <v>373</v>
      </c>
      <c r="F69" s="71" t="s">
        <v>367</v>
      </c>
      <c r="G69" s="71" t="s">
        <v>424</v>
      </c>
      <c r="H69" s="71" t="s">
        <v>397</v>
      </c>
      <c r="I69" s="71" t="s">
        <v>386</v>
      </c>
    </row>
    <row r="70" spans="1:9" ht="43.5" x14ac:dyDescent="0.35">
      <c r="A70" s="195">
        <v>1</v>
      </c>
      <c r="B70" s="195">
        <v>69</v>
      </c>
      <c r="C70" s="195" t="s">
        <v>449</v>
      </c>
      <c r="D70" s="64">
        <v>28440</v>
      </c>
      <c r="E70" s="195" t="s">
        <v>366</v>
      </c>
      <c r="F70" s="71" t="s">
        <v>367</v>
      </c>
      <c r="G70" s="71" t="s">
        <v>424</v>
      </c>
      <c r="H70" s="71" t="s">
        <v>406</v>
      </c>
      <c r="I70" s="71" t="s">
        <v>364</v>
      </c>
    </row>
    <row r="71" spans="1:9" ht="43.5" x14ac:dyDescent="0.35">
      <c r="A71" s="195">
        <v>1</v>
      </c>
      <c r="B71" s="195">
        <v>70</v>
      </c>
      <c r="C71" s="195" t="s">
        <v>450</v>
      </c>
      <c r="D71" s="64">
        <v>10160</v>
      </c>
      <c r="E71" s="195" t="s">
        <v>373</v>
      </c>
      <c r="F71" s="71" t="s">
        <v>367</v>
      </c>
      <c r="G71" s="71" t="s">
        <v>424</v>
      </c>
      <c r="H71" s="71" t="s">
        <v>406</v>
      </c>
      <c r="I71" s="71" t="s">
        <v>374</v>
      </c>
    </row>
    <row r="72" spans="1:9" ht="43.5" x14ac:dyDescent="0.35">
      <c r="A72" s="195">
        <v>1</v>
      </c>
      <c r="B72" s="195">
        <v>71</v>
      </c>
      <c r="C72" s="195" t="s">
        <v>451</v>
      </c>
      <c r="D72" s="64">
        <v>9165</v>
      </c>
      <c r="E72" s="195" t="s">
        <v>373</v>
      </c>
      <c r="F72" s="71" t="s">
        <v>367</v>
      </c>
      <c r="G72" s="71" t="s">
        <v>424</v>
      </c>
      <c r="H72" s="71" t="s">
        <v>406</v>
      </c>
      <c r="I72" s="71" t="s">
        <v>376</v>
      </c>
    </row>
    <row r="73" spans="1:9" ht="43.5" x14ac:dyDescent="0.35">
      <c r="A73" s="195">
        <v>1</v>
      </c>
      <c r="B73" s="195">
        <v>72</v>
      </c>
      <c r="C73" s="195" t="s">
        <v>452</v>
      </c>
      <c r="D73" s="64">
        <v>1190</v>
      </c>
      <c r="E73" s="195" t="s">
        <v>373</v>
      </c>
      <c r="F73" s="71" t="s">
        <v>367</v>
      </c>
      <c r="G73" s="71" t="s">
        <v>424</v>
      </c>
      <c r="H73" s="71" t="s">
        <v>406</v>
      </c>
      <c r="I73" s="71" t="s">
        <v>378</v>
      </c>
    </row>
    <row r="74" spans="1:9" ht="43.5" x14ac:dyDescent="0.35">
      <c r="A74" s="195">
        <v>1</v>
      </c>
      <c r="B74" s="195">
        <v>73</v>
      </c>
      <c r="C74" s="195" t="s">
        <v>453</v>
      </c>
      <c r="D74" s="195">
        <v>4</v>
      </c>
      <c r="E74" s="195" t="s">
        <v>373</v>
      </c>
      <c r="F74" s="71" t="s">
        <v>367</v>
      </c>
      <c r="G74" s="71" t="s">
        <v>424</v>
      </c>
      <c r="H74" s="71" t="s">
        <v>406</v>
      </c>
      <c r="I74" s="71" t="s">
        <v>380</v>
      </c>
    </row>
    <row r="75" spans="1:9" ht="43.5" x14ac:dyDescent="0.35">
      <c r="A75" s="195">
        <v>1</v>
      </c>
      <c r="B75" s="195">
        <v>74</v>
      </c>
      <c r="C75" s="195" t="s">
        <v>454</v>
      </c>
      <c r="D75" s="195">
        <v>15</v>
      </c>
      <c r="E75" s="195" t="s">
        <v>373</v>
      </c>
      <c r="F75" s="71" t="s">
        <v>367</v>
      </c>
      <c r="G75" s="71" t="s">
        <v>424</v>
      </c>
      <c r="H75" s="71" t="s">
        <v>406</v>
      </c>
      <c r="I75" s="71" t="s">
        <v>382</v>
      </c>
    </row>
    <row r="76" spans="1:9" ht="43.5" x14ac:dyDescent="0.35">
      <c r="A76" s="195">
        <v>1</v>
      </c>
      <c r="B76" s="195">
        <v>75</v>
      </c>
      <c r="C76" s="195" t="s">
        <v>455</v>
      </c>
      <c r="D76" s="64">
        <v>7595</v>
      </c>
      <c r="E76" s="195" t="s">
        <v>373</v>
      </c>
      <c r="F76" s="71" t="s">
        <v>367</v>
      </c>
      <c r="G76" s="71" t="s">
        <v>424</v>
      </c>
      <c r="H76" s="71" t="s">
        <v>406</v>
      </c>
      <c r="I76" s="71" t="s">
        <v>384</v>
      </c>
    </row>
    <row r="77" spans="1:9" ht="43.5" x14ac:dyDescent="0.35">
      <c r="A77" s="195">
        <v>1</v>
      </c>
      <c r="B77" s="195">
        <v>76</v>
      </c>
      <c r="C77" s="195" t="s">
        <v>456</v>
      </c>
      <c r="D77" s="195">
        <v>315</v>
      </c>
      <c r="E77" s="195" t="s">
        <v>373</v>
      </c>
      <c r="F77" s="71" t="s">
        <v>367</v>
      </c>
      <c r="G77" s="71" t="s">
        <v>424</v>
      </c>
      <c r="H77" s="71" t="s">
        <v>406</v>
      </c>
      <c r="I77" s="71" t="s">
        <v>386</v>
      </c>
    </row>
    <row r="78" spans="1:9" ht="29" x14ac:dyDescent="0.35">
      <c r="A78" s="195">
        <v>1</v>
      </c>
      <c r="B78" s="195">
        <v>77</v>
      </c>
      <c r="C78" s="195" t="s">
        <v>457</v>
      </c>
      <c r="D78" s="64">
        <v>213575</v>
      </c>
      <c r="E78" s="195" t="s">
        <v>366</v>
      </c>
      <c r="F78" s="71" t="s">
        <v>367</v>
      </c>
      <c r="G78" s="71" t="s">
        <v>424</v>
      </c>
      <c r="H78" s="71" t="s">
        <v>415</v>
      </c>
      <c r="I78" s="71" t="s">
        <v>364</v>
      </c>
    </row>
    <row r="79" spans="1:9" ht="29" x14ac:dyDescent="0.35">
      <c r="A79" s="195">
        <v>1</v>
      </c>
      <c r="B79" s="195">
        <v>78</v>
      </c>
      <c r="C79" s="195" t="s">
        <v>458</v>
      </c>
      <c r="D79" s="64">
        <v>130155</v>
      </c>
      <c r="E79" s="195" t="s">
        <v>373</v>
      </c>
      <c r="F79" s="71" t="s">
        <v>367</v>
      </c>
      <c r="G79" s="71" t="s">
        <v>424</v>
      </c>
      <c r="H79" s="71" t="s">
        <v>415</v>
      </c>
      <c r="I79" s="71" t="s">
        <v>374</v>
      </c>
    </row>
    <row r="80" spans="1:9" ht="29" x14ac:dyDescent="0.35">
      <c r="A80" s="195">
        <v>1</v>
      </c>
      <c r="B80" s="195">
        <v>79</v>
      </c>
      <c r="C80" s="195" t="s">
        <v>459</v>
      </c>
      <c r="D80" s="64">
        <v>36875</v>
      </c>
      <c r="E80" s="195" t="s">
        <v>373</v>
      </c>
      <c r="F80" s="71" t="s">
        <v>367</v>
      </c>
      <c r="G80" s="71" t="s">
        <v>424</v>
      </c>
      <c r="H80" s="71" t="s">
        <v>415</v>
      </c>
      <c r="I80" s="71" t="s">
        <v>376</v>
      </c>
    </row>
    <row r="81" spans="1:9" ht="29" x14ac:dyDescent="0.35">
      <c r="A81" s="195">
        <v>1</v>
      </c>
      <c r="B81" s="195">
        <v>80</v>
      </c>
      <c r="C81" s="195" t="s">
        <v>460</v>
      </c>
      <c r="D81" s="64">
        <v>13535</v>
      </c>
      <c r="E81" s="195" t="s">
        <v>373</v>
      </c>
      <c r="F81" s="71" t="s">
        <v>367</v>
      </c>
      <c r="G81" s="71" t="s">
        <v>424</v>
      </c>
      <c r="H81" s="71" t="s">
        <v>415</v>
      </c>
      <c r="I81" s="71" t="s">
        <v>378</v>
      </c>
    </row>
    <row r="82" spans="1:9" ht="29" x14ac:dyDescent="0.35">
      <c r="A82" s="195">
        <v>1</v>
      </c>
      <c r="B82" s="195">
        <v>81</v>
      </c>
      <c r="C82" s="195" t="s">
        <v>461</v>
      </c>
      <c r="D82" s="195">
        <v>275</v>
      </c>
      <c r="E82" s="195" t="s">
        <v>373</v>
      </c>
      <c r="F82" s="71" t="s">
        <v>367</v>
      </c>
      <c r="G82" s="71" t="s">
        <v>424</v>
      </c>
      <c r="H82" s="71" t="s">
        <v>415</v>
      </c>
      <c r="I82" s="71" t="s">
        <v>380</v>
      </c>
    </row>
    <row r="83" spans="1:9" ht="29" x14ac:dyDescent="0.35">
      <c r="A83" s="195">
        <v>1</v>
      </c>
      <c r="B83" s="195">
        <v>82</v>
      </c>
      <c r="C83" s="195" t="s">
        <v>462</v>
      </c>
      <c r="D83" s="195">
        <v>55</v>
      </c>
      <c r="E83" s="195" t="s">
        <v>373</v>
      </c>
      <c r="F83" s="71" t="s">
        <v>367</v>
      </c>
      <c r="G83" s="71" t="s">
        <v>424</v>
      </c>
      <c r="H83" s="71" t="s">
        <v>415</v>
      </c>
      <c r="I83" s="71" t="s">
        <v>382</v>
      </c>
    </row>
    <row r="84" spans="1:9" ht="29" x14ac:dyDescent="0.35">
      <c r="A84" s="195">
        <v>1</v>
      </c>
      <c r="B84" s="195">
        <v>83</v>
      </c>
      <c r="C84" s="195" t="s">
        <v>463</v>
      </c>
      <c r="D84" s="64">
        <v>29810</v>
      </c>
      <c r="E84" s="195" t="s">
        <v>373</v>
      </c>
      <c r="F84" s="71" t="s">
        <v>367</v>
      </c>
      <c r="G84" s="71" t="s">
        <v>424</v>
      </c>
      <c r="H84" s="71" t="s">
        <v>415</v>
      </c>
      <c r="I84" s="71" t="s">
        <v>384</v>
      </c>
    </row>
    <row r="85" spans="1:9" ht="29" x14ac:dyDescent="0.35">
      <c r="A85" s="195">
        <v>1</v>
      </c>
      <c r="B85" s="195">
        <v>84</v>
      </c>
      <c r="C85" s="195" t="s">
        <v>464</v>
      </c>
      <c r="D85" s="64">
        <v>2870</v>
      </c>
      <c r="E85" s="195" t="s">
        <v>373</v>
      </c>
      <c r="F85" s="71" t="s">
        <v>367</v>
      </c>
      <c r="G85" s="71" t="s">
        <v>424</v>
      </c>
      <c r="H85" s="71" t="s">
        <v>415</v>
      </c>
      <c r="I85" s="71" t="s">
        <v>386</v>
      </c>
    </row>
    <row r="86" spans="1:9" ht="43.5" x14ac:dyDescent="0.35">
      <c r="A86" s="195">
        <v>1</v>
      </c>
      <c r="B86" s="195">
        <v>85</v>
      </c>
      <c r="C86" s="195" t="s">
        <v>465</v>
      </c>
      <c r="D86" s="64">
        <v>4550</v>
      </c>
      <c r="E86" s="195" t="s">
        <v>366</v>
      </c>
      <c r="F86" s="71" t="s">
        <v>367</v>
      </c>
      <c r="G86" s="71" t="s">
        <v>466</v>
      </c>
      <c r="H86" s="71" t="s">
        <v>363</v>
      </c>
      <c r="I86" s="71" t="s">
        <v>364</v>
      </c>
    </row>
    <row r="87" spans="1:9" ht="43.5" x14ac:dyDescent="0.35">
      <c r="A87" s="195">
        <v>1</v>
      </c>
      <c r="B87" s="195">
        <v>86</v>
      </c>
      <c r="C87" s="195" t="s">
        <v>467</v>
      </c>
      <c r="D87" s="64">
        <v>4550</v>
      </c>
      <c r="E87" s="195" t="s">
        <v>366</v>
      </c>
      <c r="F87" s="71" t="s">
        <v>367</v>
      </c>
      <c r="G87" s="71" t="s">
        <v>466</v>
      </c>
      <c r="H87" s="71" t="s">
        <v>371</v>
      </c>
      <c r="I87" s="71" t="s">
        <v>364</v>
      </c>
    </row>
    <row r="88" spans="1:9" ht="43.5" x14ac:dyDescent="0.35">
      <c r="A88" s="195">
        <v>1</v>
      </c>
      <c r="B88" s="195">
        <v>87</v>
      </c>
      <c r="C88" s="195" t="s">
        <v>468</v>
      </c>
      <c r="D88" s="64">
        <v>1965</v>
      </c>
      <c r="E88" s="195" t="s">
        <v>373</v>
      </c>
      <c r="F88" s="71" t="s">
        <v>367</v>
      </c>
      <c r="G88" s="71" t="s">
        <v>466</v>
      </c>
      <c r="H88" s="71" t="s">
        <v>371</v>
      </c>
      <c r="I88" s="71" t="s">
        <v>374</v>
      </c>
    </row>
    <row r="89" spans="1:9" ht="43.5" x14ac:dyDescent="0.35">
      <c r="A89" s="195">
        <v>1</v>
      </c>
      <c r="B89" s="195">
        <v>88</v>
      </c>
      <c r="C89" s="195" t="s">
        <v>469</v>
      </c>
      <c r="D89" s="64">
        <v>1580</v>
      </c>
      <c r="E89" s="195" t="s">
        <v>373</v>
      </c>
      <c r="F89" s="71" t="s">
        <v>367</v>
      </c>
      <c r="G89" s="71" t="s">
        <v>466</v>
      </c>
      <c r="H89" s="71" t="s">
        <v>371</v>
      </c>
      <c r="I89" s="71" t="s">
        <v>376</v>
      </c>
    </row>
    <row r="90" spans="1:9" ht="43.5" x14ac:dyDescent="0.35">
      <c r="A90" s="195">
        <v>1</v>
      </c>
      <c r="B90" s="195">
        <v>89</v>
      </c>
      <c r="C90" s="195" t="s">
        <v>470</v>
      </c>
      <c r="D90" s="195">
        <v>345</v>
      </c>
      <c r="E90" s="195" t="s">
        <v>373</v>
      </c>
      <c r="F90" s="71" t="s">
        <v>367</v>
      </c>
      <c r="G90" s="71" t="s">
        <v>466</v>
      </c>
      <c r="H90" s="71" t="s">
        <v>371</v>
      </c>
      <c r="I90" s="71" t="s">
        <v>378</v>
      </c>
    </row>
    <row r="91" spans="1:9" ht="43.5" x14ac:dyDescent="0.35">
      <c r="A91" s="195">
        <v>1</v>
      </c>
      <c r="B91" s="195">
        <v>90</v>
      </c>
      <c r="C91" s="195" t="s">
        <v>471</v>
      </c>
      <c r="D91" s="195">
        <v>60</v>
      </c>
      <c r="E91" s="195" t="s">
        <v>373</v>
      </c>
      <c r="F91" s="71" t="s">
        <v>367</v>
      </c>
      <c r="G91" s="71" t="s">
        <v>466</v>
      </c>
      <c r="H91" s="71" t="s">
        <v>371</v>
      </c>
      <c r="I91" s="71" t="s">
        <v>380</v>
      </c>
    </row>
    <row r="92" spans="1:9" ht="43.5" x14ac:dyDescent="0.35">
      <c r="A92" s="195">
        <v>1</v>
      </c>
      <c r="B92" s="195">
        <v>91</v>
      </c>
      <c r="C92" s="195" t="s">
        <v>472</v>
      </c>
      <c r="D92" s="195">
        <v>0</v>
      </c>
      <c r="E92" s="195" t="s">
        <v>373</v>
      </c>
      <c r="F92" s="71" t="s">
        <v>367</v>
      </c>
      <c r="G92" s="71" t="s">
        <v>466</v>
      </c>
      <c r="H92" s="71" t="s">
        <v>371</v>
      </c>
      <c r="I92" s="71" t="s">
        <v>382</v>
      </c>
    </row>
    <row r="93" spans="1:9" ht="43.5" x14ac:dyDescent="0.35">
      <c r="A93" s="195">
        <v>1</v>
      </c>
      <c r="B93" s="195">
        <v>92</v>
      </c>
      <c r="C93" s="195" t="s">
        <v>473</v>
      </c>
      <c r="D93" s="64">
        <v>545</v>
      </c>
      <c r="E93" s="195" t="s">
        <v>373</v>
      </c>
      <c r="F93" s="71" t="s">
        <v>367</v>
      </c>
      <c r="G93" s="71" t="s">
        <v>466</v>
      </c>
      <c r="H93" s="71" t="s">
        <v>371</v>
      </c>
      <c r="I93" s="71" t="s">
        <v>384</v>
      </c>
    </row>
    <row r="94" spans="1:9" ht="43.5" x14ac:dyDescent="0.35">
      <c r="A94" s="195">
        <v>1</v>
      </c>
      <c r="B94" s="195">
        <v>93</v>
      </c>
      <c r="C94" s="195" t="s">
        <v>474</v>
      </c>
      <c r="D94" s="195">
        <v>60</v>
      </c>
      <c r="E94" s="195" t="s">
        <v>373</v>
      </c>
      <c r="F94" s="71" t="s">
        <v>367</v>
      </c>
      <c r="G94" s="71" t="s">
        <v>466</v>
      </c>
      <c r="H94" s="71" t="s">
        <v>371</v>
      </c>
      <c r="I94" s="71" t="s">
        <v>386</v>
      </c>
    </row>
    <row r="95" spans="1:9" ht="43.5" x14ac:dyDescent="0.35">
      <c r="A95" s="195">
        <v>1</v>
      </c>
      <c r="B95" s="195">
        <v>94</v>
      </c>
      <c r="C95" s="195" t="s">
        <v>475</v>
      </c>
      <c r="D95" s="195">
        <v>0</v>
      </c>
      <c r="E95" s="195" t="s">
        <v>366</v>
      </c>
      <c r="F95" s="71" t="s">
        <v>367</v>
      </c>
      <c r="G95" s="71" t="s">
        <v>466</v>
      </c>
      <c r="H95" s="71" t="s">
        <v>388</v>
      </c>
      <c r="I95" s="71" t="s">
        <v>364</v>
      </c>
    </row>
    <row r="96" spans="1:9" ht="43.5" x14ac:dyDescent="0.35">
      <c r="A96" s="195">
        <v>1</v>
      </c>
      <c r="B96" s="195">
        <v>95</v>
      </c>
      <c r="C96" s="195" t="s">
        <v>476</v>
      </c>
      <c r="D96" s="195">
        <v>0</v>
      </c>
      <c r="E96" s="195" t="s">
        <v>373</v>
      </c>
      <c r="F96" s="71" t="s">
        <v>367</v>
      </c>
      <c r="G96" s="71" t="s">
        <v>466</v>
      </c>
      <c r="H96" s="71" t="s">
        <v>388</v>
      </c>
      <c r="I96" s="71" t="s">
        <v>374</v>
      </c>
    </row>
    <row r="97" spans="1:9" ht="43.5" x14ac:dyDescent="0.35">
      <c r="A97" s="195">
        <v>1</v>
      </c>
      <c r="B97" s="195">
        <v>96</v>
      </c>
      <c r="C97" s="195" t="s">
        <v>477</v>
      </c>
      <c r="D97" s="195">
        <v>0</v>
      </c>
      <c r="E97" s="195" t="s">
        <v>373</v>
      </c>
      <c r="F97" s="71" t="s">
        <v>367</v>
      </c>
      <c r="G97" s="71" t="s">
        <v>466</v>
      </c>
      <c r="H97" s="71" t="s">
        <v>388</v>
      </c>
      <c r="I97" s="71" t="s">
        <v>376</v>
      </c>
    </row>
    <row r="98" spans="1:9" ht="43.5" x14ac:dyDescent="0.35">
      <c r="A98" s="195">
        <v>1</v>
      </c>
      <c r="B98" s="195">
        <v>97</v>
      </c>
      <c r="C98" s="195" t="s">
        <v>478</v>
      </c>
      <c r="D98" s="195">
        <v>0</v>
      </c>
      <c r="E98" s="195" t="s">
        <v>373</v>
      </c>
      <c r="F98" s="71" t="s">
        <v>367</v>
      </c>
      <c r="G98" s="71" t="s">
        <v>466</v>
      </c>
      <c r="H98" s="71" t="s">
        <v>388</v>
      </c>
      <c r="I98" s="71" t="s">
        <v>378</v>
      </c>
    </row>
    <row r="99" spans="1:9" ht="43.5" x14ac:dyDescent="0.35">
      <c r="A99" s="195">
        <v>1</v>
      </c>
      <c r="B99" s="195">
        <v>98</v>
      </c>
      <c r="C99" s="195" t="s">
        <v>479</v>
      </c>
      <c r="D99" s="195">
        <v>0</v>
      </c>
      <c r="E99" s="195" t="s">
        <v>373</v>
      </c>
      <c r="F99" s="71" t="s">
        <v>367</v>
      </c>
      <c r="G99" s="71" t="s">
        <v>466</v>
      </c>
      <c r="H99" s="71" t="s">
        <v>388</v>
      </c>
      <c r="I99" s="71" t="s">
        <v>380</v>
      </c>
    </row>
    <row r="100" spans="1:9" ht="43.5" x14ac:dyDescent="0.35">
      <c r="A100" s="195">
        <v>1</v>
      </c>
      <c r="B100" s="195">
        <v>99</v>
      </c>
      <c r="C100" s="195" t="s">
        <v>480</v>
      </c>
      <c r="D100" s="195">
        <v>0</v>
      </c>
      <c r="E100" s="195" t="s">
        <v>373</v>
      </c>
      <c r="F100" s="71" t="s">
        <v>367</v>
      </c>
      <c r="G100" s="71" t="s">
        <v>466</v>
      </c>
      <c r="H100" s="71" t="s">
        <v>388</v>
      </c>
      <c r="I100" s="71" t="s">
        <v>382</v>
      </c>
    </row>
    <row r="101" spans="1:9" ht="43.5" x14ac:dyDescent="0.35">
      <c r="A101" s="195">
        <v>1</v>
      </c>
      <c r="B101" s="195">
        <v>100</v>
      </c>
      <c r="C101" s="195" t="s">
        <v>481</v>
      </c>
      <c r="D101" s="195">
        <v>0</v>
      </c>
      <c r="E101" s="195" t="s">
        <v>373</v>
      </c>
      <c r="F101" s="71" t="s">
        <v>367</v>
      </c>
      <c r="G101" s="71" t="s">
        <v>466</v>
      </c>
      <c r="H101" s="71" t="s">
        <v>388</v>
      </c>
      <c r="I101" s="71" t="s">
        <v>384</v>
      </c>
    </row>
    <row r="102" spans="1:9" ht="43.5" x14ac:dyDescent="0.35">
      <c r="A102" s="195">
        <v>1</v>
      </c>
      <c r="B102" s="195">
        <v>101</v>
      </c>
      <c r="C102" s="195" t="s">
        <v>482</v>
      </c>
      <c r="D102" s="195">
        <v>0</v>
      </c>
      <c r="E102" s="195" t="s">
        <v>373</v>
      </c>
      <c r="F102" s="71" t="s">
        <v>367</v>
      </c>
      <c r="G102" s="71" t="s">
        <v>466</v>
      </c>
      <c r="H102" s="71" t="s">
        <v>388</v>
      </c>
      <c r="I102" s="71" t="s">
        <v>386</v>
      </c>
    </row>
    <row r="103" spans="1:9" ht="43.5" x14ac:dyDescent="0.35">
      <c r="A103" s="195">
        <v>1</v>
      </c>
      <c r="B103" s="195">
        <v>102</v>
      </c>
      <c r="C103" s="195" t="s">
        <v>483</v>
      </c>
      <c r="D103" s="195">
        <v>0</v>
      </c>
      <c r="E103" s="195" t="s">
        <v>366</v>
      </c>
      <c r="F103" s="71" t="s">
        <v>367</v>
      </c>
      <c r="G103" s="71" t="s">
        <v>466</v>
      </c>
      <c r="H103" s="71" t="s">
        <v>397</v>
      </c>
      <c r="I103" s="71" t="s">
        <v>364</v>
      </c>
    </row>
    <row r="104" spans="1:9" ht="43.5" x14ac:dyDescent="0.35">
      <c r="A104" s="195">
        <v>1</v>
      </c>
      <c r="B104" s="195">
        <v>103</v>
      </c>
      <c r="C104" s="195" t="s">
        <v>484</v>
      </c>
      <c r="D104" s="195">
        <v>0</v>
      </c>
      <c r="E104" s="195" t="s">
        <v>373</v>
      </c>
      <c r="F104" s="71" t="s">
        <v>367</v>
      </c>
      <c r="G104" s="71" t="s">
        <v>466</v>
      </c>
      <c r="H104" s="71" t="s">
        <v>397</v>
      </c>
      <c r="I104" s="71" t="s">
        <v>374</v>
      </c>
    </row>
    <row r="105" spans="1:9" ht="43.5" x14ac:dyDescent="0.35">
      <c r="A105" s="195">
        <v>1</v>
      </c>
      <c r="B105" s="195">
        <v>104</v>
      </c>
      <c r="C105" s="195" t="s">
        <v>485</v>
      </c>
      <c r="D105" s="195">
        <v>0</v>
      </c>
      <c r="E105" s="195" t="s">
        <v>373</v>
      </c>
      <c r="F105" s="71" t="s">
        <v>367</v>
      </c>
      <c r="G105" s="71" t="s">
        <v>466</v>
      </c>
      <c r="H105" s="71" t="s">
        <v>397</v>
      </c>
      <c r="I105" s="71" t="s">
        <v>376</v>
      </c>
    </row>
    <row r="106" spans="1:9" ht="43.5" x14ac:dyDescent="0.35">
      <c r="A106" s="195">
        <v>1</v>
      </c>
      <c r="B106" s="195">
        <v>105</v>
      </c>
      <c r="C106" s="195" t="s">
        <v>486</v>
      </c>
      <c r="D106" s="195">
        <v>0</v>
      </c>
      <c r="E106" s="195" t="s">
        <v>373</v>
      </c>
      <c r="F106" s="71" t="s">
        <v>367</v>
      </c>
      <c r="G106" s="71" t="s">
        <v>466</v>
      </c>
      <c r="H106" s="71" t="s">
        <v>397</v>
      </c>
      <c r="I106" s="71" t="s">
        <v>378</v>
      </c>
    </row>
    <row r="107" spans="1:9" ht="43.5" x14ac:dyDescent="0.35">
      <c r="A107" s="195">
        <v>1</v>
      </c>
      <c r="B107" s="195">
        <v>106</v>
      </c>
      <c r="C107" s="195" t="s">
        <v>487</v>
      </c>
      <c r="D107" s="195">
        <v>0</v>
      </c>
      <c r="E107" s="195" t="s">
        <v>373</v>
      </c>
      <c r="F107" s="71" t="s">
        <v>367</v>
      </c>
      <c r="G107" s="71" t="s">
        <v>466</v>
      </c>
      <c r="H107" s="71" t="s">
        <v>397</v>
      </c>
      <c r="I107" s="71" t="s">
        <v>380</v>
      </c>
    </row>
    <row r="108" spans="1:9" ht="43.5" x14ac:dyDescent="0.35">
      <c r="A108" s="195">
        <v>1</v>
      </c>
      <c r="B108" s="195">
        <v>107</v>
      </c>
      <c r="C108" s="195" t="s">
        <v>488</v>
      </c>
      <c r="D108" s="195">
        <v>0</v>
      </c>
      <c r="E108" s="195" t="s">
        <v>373</v>
      </c>
      <c r="F108" s="71" t="s">
        <v>367</v>
      </c>
      <c r="G108" s="71" t="s">
        <v>466</v>
      </c>
      <c r="H108" s="71" t="s">
        <v>397</v>
      </c>
      <c r="I108" s="71" t="s">
        <v>382</v>
      </c>
    </row>
    <row r="109" spans="1:9" ht="43.5" x14ac:dyDescent="0.35">
      <c r="A109" s="195">
        <v>1</v>
      </c>
      <c r="B109" s="195">
        <v>108</v>
      </c>
      <c r="C109" s="195" t="s">
        <v>489</v>
      </c>
      <c r="D109" s="195">
        <v>0</v>
      </c>
      <c r="E109" s="195" t="s">
        <v>373</v>
      </c>
      <c r="F109" s="71" t="s">
        <v>367</v>
      </c>
      <c r="G109" s="71" t="s">
        <v>466</v>
      </c>
      <c r="H109" s="71" t="s">
        <v>397</v>
      </c>
      <c r="I109" s="71" t="s">
        <v>384</v>
      </c>
    </row>
    <row r="110" spans="1:9" ht="43.5" x14ac:dyDescent="0.35">
      <c r="A110" s="195">
        <v>1</v>
      </c>
      <c r="B110" s="195">
        <v>109</v>
      </c>
      <c r="C110" s="195" t="s">
        <v>490</v>
      </c>
      <c r="D110" s="195">
        <v>0</v>
      </c>
      <c r="E110" s="195" t="s">
        <v>373</v>
      </c>
      <c r="F110" s="71" t="s">
        <v>367</v>
      </c>
      <c r="G110" s="71" t="s">
        <v>466</v>
      </c>
      <c r="H110" s="71" t="s">
        <v>397</v>
      </c>
      <c r="I110" s="71" t="s">
        <v>386</v>
      </c>
    </row>
    <row r="111" spans="1:9" ht="43.5" x14ac:dyDescent="0.35">
      <c r="A111" s="195">
        <v>1</v>
      </c>
      <c r="B111" s="195">
        <v>110</v>
      </c>
      <c r="C111" s="195" t="s">
        <v>491</v>
      </c>
      <c r="D111" s="195">
        <v>0</v>
      </c>
      <c r="E111" s="195" t="s">
        <v>366</v>
      </c>
      <c r="F111" s="71" t="s">
        <v>367</v>
      </c>
      <c r="G111" s="71" t="s">
        <v>466</v>
      </c>
      <c r="H111" s="71" t="s">
        <v>406</v>
      </c>
      <c r="I111" s="71" t="s">
        <v>364</v>
      </c>
    </row>
    <row r="112" spans="1:9" ht="43.5" x14ac:dyDescent="0.35">
      <c r="A112" s="195">
        <v>1</v>
      </c>
      <c r="B112" s="195">
        <v>111</v>
      </c>
      <c r="C112" s="195" t="s">
        <v>492</v>
      </c>
      <c r="D112" s="195">
        <v>0</v>
      </c>
      <c r="E112" s="195" t="s">
        <v>373</v>
      </c>
      <c r="F112" s="71" t="s">
        <v>367</v>
      </c>
      <c r="G112" s="71" t="s">
        <v>466</v>
      </c>
      <c r="H112" s="71" t="s">
        <v>406</v>
      </c>
      <c r="I112" s="71" t="s">
        <v>374</v>
      </c>
    </row>
    <row r="113" spans="1:9" ht="43.5" x14ac:dyDescent="0.35">
      <c r="A113" s="195">
        <v>1</v>
      </c>
      <c r="B113" s="195">
        <v>112</v>
      </c>
      <c r="C113" s="195" t="s">
        <v>493</v>
      </c>
      <c r="D113" s="195">
        <v>0</v>
      </c>
      <c r="E113" s="195" t="s">
        <v>373</v>
      </c>
      <c r="F113" s="71" t="s">
        <v>367</v>
      </c>
      <c r="G113" s="71" t="s">
        <v>466</v>
      </c>
      <c r="H113" s="71" t="s">
        <v>406</v>
      </c>
      <c r="I113" s="71" t="s">
        <v>376</v>
      </c>
    </row>
    <row r="114" spans="1:9" ht="43.5" x14ac:dyDescent="0.35">
      <c r="A114" s="195">
        <v>1</v>
      </c>
      <c r="B114" s="195">
        <v>113</v>
      </c>
      <c r="C114" s="195" t="s">
        <v>494</v>
      </c>
      <c r="D114" s="195">
        <v>0</v>
      </c>
      <c r="E114" s="195" t="s">
        <v>373</v>
      </c>
      <c r="F114" s="71" t="s">
        <v>367</v>
      </c>
      <c r="G114" s="71" t="s">
        <v>466</v>
      </c>
      <c r="H114" s="71" t="s">
        <v>406</v>
      </c>
      <c r="I114" s="71" t="s">
        <v>378</v>
      </c>
    </row>
    <row r="115" spans="1:9" ht="43.5" x14ac:dyDescent="0.35">
      <c r="A115" s="195">
        <v>1</v>
      </c>
      <c r="B115" s="195">
        <v>114</v>
      </c>
      <c r="C115" s="195" t="s">
        <v>495</v>
      </c>
      <c r="D115" s="195">
        <v>0</v>
      </c>
      <c r="E115" s="195" t="s">
        <v>373</v>
      </c>
      <c r="F115" s="71" t="s">
        <v>367</v>
      </c>
      <c r="G115" s="71" t="s">
        <v>466</v>
      </c>
      <c r="H115" s="71" t="s">
        <v>406</v>
      </c>
      <c r="I115" s="71" t="s">
        <v>380</v>
      </c>
    </row>
    <row r="116" spans="1:9" ht="43.5" x14ac:dyDescent="0.35">
      <c r="A116" s="195">
        <v>1</v>
      </c>
      <c r="B116" s="195">
        <v>115</v>
      </c>
      <c r="C116" s="195" t="s">
        <v>496</v>
      </c>
      <c r="D116" s="195">
        <v>0</v>
      </c>
      <c r="E116" s="195" t="s">
        <v>373</v>
      </c>
      <c r="F116" s="71" t="s">
        <v>367</v>
      </c>
      <c r="G116" s="71" t="s">
        <v>466</v>
      </c>
      <c r="H116" s="71" t="s">
        <v>406</v>
      </c>
      <c r="I116" s="71" t="s">
        <v>382</v>
      </c>
    </row>
    <row r="117" spans="1:9" ht="43.5" x14ac:dyDescent="0.35">
      <c r="A117" s="195">
        <v>1</v>
      </c>
      <c r="B117" s="195">
        <v>116</v>
      </c>
      <c r="C117" s="195" t="s">
        <v>497</v>
      </c>
      <c r="D117" s="195">
        <v>0</v>
      </c>
      <c r="E117" s="195" t="s">
        <v>373</v>
      </c>
      <c r="F117" s="71" t="s">
        <v>367</v>
      </c>
      <c r="G117" s="71" t="s">
        <v>466</v>
      </c>
      <c r="H117" s="71" t="s">
        <v>406</v>
      </c>
      <c r="I117" s="71" t="s">
        <v>384</v>
      </c>
    </row>
    <row r="118" spans="1:9" ht="43.5" x14ac:dyDescent="0.35">
      <c r="A118" s="195">
        <v>1</v>
      </c>
      <c r="B118" s="195">
        <v>117</v>
      </c>
      <c r="C118" s="195" t="s">
        <v>498</v>
      </c>
      <c r="D118" s="195">
        <v>0</v>
      </c>
      <c r="E118" s="195" t="s">
        <v>373</v>
      </c>
      <c r="F118" s="71" t="s">
        <v>367</v>
      </c>
      <c r="G118" s="71" t="s">
        <v>466</v>
      </c>
      <c r="H118" s="71" t="s">
        <v>406</v>
      </c>
      <c r="I118" s="71" t="s">
        <v>386</v>
      </c>
    </row>
    <row r="119" spans="1:9" ht="43.5" x14ac:dyDescent="0.35">
      <c r="A119" s="195">
        <v>1</v>
      </c>
      <c r="B119" s="195">
        <v>118</v>
      </c>
      <c r="C119" s="195" t="s">
        <v>499</v>
      </c>
      <c r="D119" s="195">
        <v>0</v>
      </c>
      <c r="E119" s="195" t="s">
        <v>366</v>
      </c>
      <c r="F119" s="71" t="s">
        <v>367</v>
      </c>
      <c r="G119" s="71" t="s">
        <v>466</v>
      </c>
      <c r="H119" s="71" t="s">
        <v>415</v>
      </c>
      <c r="I119" s="71" t="s">
        <v>364</v>
      </c>
    </row>
    <row r="120" spans="1:9" ht="43.5" x14ac:dyDescent="0.35">
      <c r="A120" s="195">
        <v>1</v>
      </c>
      <c r="B120" s="195">
        <v>119</v>
      </c>
      <c r="C120" s="195" t="s">
        <v>500</v>
      </c>
      <c r="D120" s="195">
        <v>0</v>
      </c>
      <c r="E120" s="195" t="s">
        <v>373</v>
      </c>
      <c r="F120" s="71" t="s">
        <v>367</v>
      </c>
      <c r="G120" s="71" t="s">
        <v>466</v>
      </c>
      <c r="H120" s="71" t="s">
        <v>415</v>
      </c>
      <c r="I120" s="71" t="s">
        <v>374</v>
      </c>
    </row>
    <row r="121" spans="1:9" ht="43.5" x14ac:dyDescent="0.35">
      <c r="A121" s="195">
        <v>1</v>
      </c>
      <c r="B121" s="195">
        <v>120</v>
      </c>
      <c r="C121" s="195" t="s">
        <v>501</v>
      </c>
      <c r="D121" s="195">
        <v>0</v>
      </c>
      <c r="E121" s="195" t="s">
        <v>373</v>
      </c>
      <c r="F121" s="71" t="s">
        <v>367</v>
      </c>
      <c r="G121" s="71" t="s">
        <v>466</v>
      </c>
      <c r="H121" s="71" t="s">
        <v>415</v>
      </c>
      <c r="I121" s="71" t="s">
        <v>376</v>
      </c>
    </row>
    <row r="122" spans="1:9" ht="43.5" x14ac:dyDescent="0.35">
      <c r="A122" s="195">
        <v>1</v>
      </c>
      <c r="B122" s="195">
        <v>121</v>
      </c>
      <c r="C122" s="195" t="s">
        <v>502</v>
      </c>
      <c r="D122" s="195">
        <v>0</v>
      </c>
      <c r="E122" s="195" t="s">
        <v>373</v>
      </c>
      <c r="F122" s="71" t="s">
        <v>367</v>
      </c>
      <c r="G122" s="71" t="s">
        <v>466</v>
      </c>
      <c r="H122" s="71" t="s">
        <v>415</v>
      </c>
      <c r="I122" s="71" t="s">
        <v>378</v>
      </c>
    </row>
    <row r="123" spans="1:9" ht="43.5" x14ac:dyDescent="0.35">
      <c r="A123" s="195">
        <v>1</v>
      </c>
      <c r="B123" s="195">
        <v>122</v>
      </c>
      <c r="C123" s="195" t="s">
        <v>503</v>
      </c>
      <c r="D123" s="195">
        <v>0</v>
      </c>
      <c r="E123" s="195" t="s">
        <v>373</v>
      </c>
      <c r="F123" s="71" t="s">
        <v>367</v>
      </c>
      <c r="G123" s="71" t="s">
        <v>466</v>
      </c>
      <c r="H123" s="71" t="s">
        <v>415</v>
      </c>
      <c r="I123" s="71" t="s">
        <v>380</v>
      </c>
    </row>
    <row r="124" spans="1:9" ht="43.5" x14ac:dyDescent="0.35">
      <c r="A124" s="195">
        <v>1</v>
      </c>
      <c r="B124" s="195">
        <v>123</v>
      </c>
      <c r="C124" s="195" t="s">
        <v>504</v>
      </c>
      <c r="D124" s="195">
        <v>0</v>
      </c>
      <c r="E124" s="195" t="s">
        <v>373</v>
      </c>
      <c r="F124" s="71" t="s">
        <v>367</v>
      </c>
      <c r="G124" s="71" t="s">
        <v>466</v>
      </c>
      <c r="H124" s="71" t="s">
        <v>415</v>
      </c>
      <c r="I124" s="71" t="s">
        <v>382</v>
      </c>
    </row>
    <row r="125" spans="1:9" ht="43.5" x14ac:dyDescent="0.35">
      <c r="A125" s="195">
        <v>1</v>
      </c>
      <c r="B125" s="195">
        <v>124</v>
      </c>
      <c r="C125" s="195" t="s">
        <v>505</v>
      </c>
      <c r="D125" s="195">
        <v>0</v>
      </c>
      <c r="E125" s="195" t="s">
        <v>373</v>
      </c>
      <c r="F125" s="71" t="s">
        <v>367</v>
      </c>
      <c r="G125" s="71" t="s">
        <v>466</v>
      </c>
      <c r="H125" s="71" t="s">
        <v>415</v>
      </c>
      <c r="I125" s="71" t="s">
        <v>384</v>
      </c>
    </row>
    <row r="126" spans="1:9" ht="43.5" x14ac:dyDescent="0.35">
      <c r="A126" s="195">
        <v>1</v>
      </c>
      <c r="B126" s="195">
        <v>125</v>
      </c>
      <c r="C126" s="195" t="s">
        <v>506</v>
      </c>
      <c r="D126" s="195">
        <v>0</v>
      </c>
      <c r="E126" s="195" t="s">
        <v>373</v>
      </c>
      <c r="F126" s="71" t="s">
        <v>367</v>
      </c>
      <c r="G126" s="71" t="s">
        <v>466</v>
      </c>
      <c r="H126" s="71" t="s">
        <v>415</v>
      </c>
      <c r="I126" s="71" t="s">
        <v>386</v>
      </c>
    </row>
    <row r="127" spans="1:9" x14ac:dyDescent="0.35">
      <c r="A127" s="195">
        <v>1</v>
      </c>
      <c r="B127" s="195">
        <v>126</v>
      </c>
      <c r="C127" s="195" t="s">
        <v>507</v>
      </c>
      <c r="D127" s="64">
        <v>582690</v>
      </c>
      <c r="E127" s="195" t="s">
        <v>366</v>
      </c>
      <c r="F127" s="71" t="s">
        <v>508</v>
      </c>
      <c r="G127" s="71" t="s">
        <v>362</v>
      </c>
      <c r="H127" s="71" t="s">
        <v>363</v>
      </c>
      <c r="I127" s="71" t="s">
        <v>364</v>
      </c>
    </row>
    <row r="128" spans="1:9" ht="87" x14ac:dyDescent="0.35">
      <c r="A128" s="195">
        <v>1</v>
      </c>
      <c r="B128" s="195">
        <v>127</v>
      </c>
      <c r="C128" s="195" t="s">
        <v>509</v>
      </c>
      <c r="D128" s="64">
        <v>288745</v>
      </c>
      <c r="E128" s="195" t="s">
        <v>366</v>
      </c>
      <c r="F128" s="71" t="s">
        <v>508</v>
      </c>
      <c r="G128" s="71" t="s">
        <v>369</v>
      </c>
      <c r="H128" s="71" t="s">
        <v>363</v>
      </c>
      <c r="I128" s="71" t="s">
        <v>364</v>
      </c>
    </row>
    <row r="129" spans="1:9" ht="87" x14ac:dyDescent="0.35">
      <c r="A129" s="195">
        <v>1</v>
      </c>
      <c r="B129" s="195">
        <v>128</v>
      </c>
      <c r="C129" s="195" t="s">
        <v>510</v>
      </c>
      <c r="D129" s="64">
        <v>147270</v>
      </c>
      <c r="E129" s="195" t="s">
        <v>366</v>
      </c>
      <c r="F129" s="71" t="s">
        <v>508</v>
      </c>
      <c r="G129" s="71" t="s">
        <v>369</v>
      </c>
      <c r="H129" s="71" t="s">
        <v>371</v>
      </c>
      <c r="I129" s="71" t="s">
        <v>364</v>
      </c>
    </row>
    <row r="130" spans="1:9" ht="87" x14ac:dyDescent="0.35">
      <c r="A130" s="195">
        <v>1</v>
      </c>
      <c r="B130" s="195">
        <v>129</v>
      </c>
      <c r="C130" s="195" t="s">
        <v>511</v>
      </c>
      <c r="D130" s="64">
        <v>27435</v>
      </c>
      <c r="E130" s="195" t="s">
        <v>373</v>
      </c>
      <c r="F130" s="71" t="s">
        <v>508</v>
      </c>
      <c r="G130" s="71" t="s">
        <v>369</v>
      </c>
      <c r="H130" s="71" t="s">
        <v>371</v>
      </c>
      <c r="I130" s="71" t="s">
        <v>374</v>
      </c>
    </row>
    <row r="131" spans="1:9" ht="87" x14ac:dyDescent="0.35">
      <c r="A131" s="195">
        <v>1</v>
      </c>
      <c r="B131" s="195">
        <v>130</v>
      </c>
      <c r="C131" s="195" t="s">
        <v>512</v>
      </c>
      <c r="D131" s="64">
        <v>75515</v>
      </c>
      <c r="E131" s="195" t="s">
        <v>373</v>
      </c>
      <c r="F131" s="71" t="s">
        <v>508</v>
      </c>
      <c r="G131" s="71" t="s">
        <v>369</v>
      </c>
      <c r="H131" s="71" t="s">
        <v>371</v>
      </c>
      <c r="I131" s="71" t="s">
        <v>376</v>
      </c>
    </row>
    <row r="132" spans="1:9" ht="87" x14ac:dyDescent="0.35">
      <c r="A132" s="195">
        <v>1</v>
      </c>
      <c r="B132" s="195">
        <v>131</v>
      </c>
      <c r="C132" s="195" t="s">
        <v>513</v>
      </c>
      <c r="D132" s="64">
        <v>7030</v>
      </c>
      <c r="E132" s="195" t="s">
        <v>373</v>
      </c>
      <c r="F132" s="71" t="s">
        <v>508</v>
      </c>
      <c r="G132" s="71" t="s">
        <v>369</v>
      </c>
      <c r="H132" s="71" t="s">
        <v>371</v>
      </c>
      <c r="I132" s="71" t="s">
        <v>378</v>
      </c>
    </row>
    <row r="133" spans="1:9" ht="87" x14ac:dyDescent="0.35">
      <c r="A133" s="195">
        <v>1</v>
      </c>
      <c r="B133" s="195">
        <v>132</v>
      </c>
      <c r="C133" s="195" t="s">
        <v>514</v>
      </c>
      <c r="D133" s="195">
        <v>265</v>
      </c>
      <c r="E133" s="195" t="s">
        <v>373</v>
      </c>
      <c r="F133" s="71" t="s">
        <v>508</v>
      </c>
      <c r="G133" s="71" t="s">
        <v>369</v>
      </c>
      <c r="H133" s="71" t="s">
        <v>371</v>
      </c>
      <c r="I133" s="71" t="s">
        <v>380</v>
      </c>
    </row>
    <row r="134" spans="1:9" ht="87" x14ac:dyDescent="0.35">
      <c r="A134" s="195">
        <v>1</v>
      </c>
      <c r="B134" s="195">
        <v>133</v>
      </c>
      <c r="C134" s="195" t="s">
        <v>515</v>
      </c>
      <c r="D134" s="195">
        <v>10</v>
      </c>
      <c r="E134" s="195" t="s">
        <v>373</v>
      </c>
      <c r="F134" s="71" t="s">
        <v>508</v>
      </c>
      <c r="G134" s="71" t="s">
        <v>369</v>
      </c>
      <c r="H134" s="71" t="s">
        <v>371</v>
      </c>
      <c r="I134" s="71" t="s">
        <v>382</v>
      </c>
    </row>
    <row r="135" spans="1:9" ht="87" x14ac:dyDescent="0.35">
      <c r="A135" s="195">
        <v>1</v>
      </c>
      <c r="B135" s="195">
        <v>134</v>
      </c>
      <c r="C135" s="195" t="s">
        <v>516</v>
      </c>
      <c r="D135" s="64">
        <v>34465</v>
      </c>
      <c r="E135" s="195" t="s">
        <v>373</v>
      </c>
      <c r="F135" s="71" t="s">
        <v>508</v>
      </c>
      <c r="G135" s="71" t="s">
        <v>369</v>
      </c>
      <c r="H135" s="71" t="s">
        <v>371</v>
      </c>
      <c r="I135" s="71" t="s">
        <v>384</v>
      </c>
    </row>
    <row r="136" spans="1:9" ht="87" x14ac:dyDescent="0.35">
      <c r="A136" s="195">
        <v>1</v>
      </c>
      <c r="B136" s="195">
        <v>135</v>
      </c>
      <c r="C136" s="195" t="s">
        <v>517</v>
      </c>
      <c r="D136" s="64">
        <v>2560</v>
      </c>
      <c r="E136" s="195" t="s">
        <v>373</v>
      </c>
      <c r="F136" s="71" t="s">
        <v>508</v>
      </c>
      <c r="G136" s="71" t="s">
        <v>369</v>
      </c>
      <c r="H136" s="71" t="s">
        <v>371</v>
      </c>
      <c r="I136" s="71" t="s">
        <v>386</v>
      </c>
    </row>
    <row r="137" spans="1:9" ht="87" x14ac:dyDescent="0.35">
      <c r="A137" s="195">
        <v>1</v>
      </c>
      <c r="B137" s="195">
        <v>136</v>
      </c>
      <c r="C137" s="195" t="s">
        <v>518</v>
      </c>
      <c r="D137" s="64">
        <v>77735</v>
      </c>
      <c r="E137" s="195" t="s">
        <v>366</v>
      </c>
      <c r="F137" s="71" t="s">
        <v>508</v>
      </c>
      <c r="G137" s="71" t="s">
        <v>369</v>
      </c>
      <c r="H137" s="71" t="s">
        <v>388</v>
      </c>
      <c r="I137" s="71" t="s">
        <v>364</v>
      </c>
    </row>
    <row r="138" spans="1:9" ht="87" x14ac:dyDescent="0.35">
      <c r="A138" s="195">
        <v>1</v>
      </c>
      <c r="B138" s="195">
        <v>137</v>
      </c>
      <c r="C138" s="195" t="s">
        <v>519</v>
      </c>
      <c r="D138" s="64">
        <v>19630</v>
      </c>
      <c r="E138" s="195" t="s">
        <v>373</v>
      </c>
      <c r="F138" s="71" t="s">
        <v>508</v>
      </c>
      <c r="G138" s="71" t="s">
        <v>369</v>
      </c>
      <c r="H138" s="71" t="s">
        <v>388</v>
      </c>
      <c r="I138" s="71" t="s">
        <v>374</v>
      </c>
    </row>
    <row r="139" spans="1:9" ht="87" x14ac:dyDescent="0.35">
      <c r="A139" s="195">
        <v>1</v>
      </c>
      <c r="B139" s="195">
        <v>138</v>
      </c>
      <c r="C139" s="195" t="s">
        <v>520</v>
      </c>
      <c r="D139" s="64">
        <v>30415</v>
      </c>
      <c r="E139" s="195" t="s">
        <v>373</v>
      </c>
      <c r="F139" s="71" t="s">
        <v>508</v>
      </c>
      <c r="G139" s="71" t="s">
        <v>369</v>
      </c>
      <c r="H139" s="71" t="s">
        <v>388</v>
      </c>
      <c r="I139" s="71" t="s">
        <v>376</v>
      </c>
    </row>
    <row r="140" spans="1:9" ht="87" x14ac:dyDescent="0.35">
      <c r="A140" s="195">
        <v>1</v>
      </c>
      <c r="B140" s="195">
        <v>139</v>
      </c>
      <c r="C140" s="195" t="s">
        <v>521</v>
      </c>
      <c r="D140" s="64">
        <v>3005</v>
      </c>
      <c r="E140" s="195" t="s">
        <v>373</v>
      </c>
      <c r="F140" s="71" t="s">
        <v>508</v>
      </c>
      <c r="G140" s="71" t="s">
        <v>369</v>
      </c>
      <c r="H140" s="71" t="s">
        <v>388</v>
      </c>
      <c r="I140" s="71" t="s">
        <v>378</v>
      </c>
    </row>
    <row r="141" spans="1:9" ht="87" x14ac:dyDescent="0.35">
      <c r="A141" s="195">
        <v>1</v>
      </c>
      <c r="B141" s="195">
        <v>140</v>
      </c>
      <c r="C141" s="195" t="s">
        <v>522</v>
      </c>
      <c r="D141" s="195">
        <v>160</v>
      </c>
      <c r="E141" s="195" t="s">
        <v>373</v>
      </c>
      <c r="F141" s="71" t="s">
        <v>508</v>
      </c>
      <c r="G141" s="71" t="s">
        <v>369</v>
      </c>
      <c r="H141" s="71" t="s">
        <v>388</v>
      </c>
      <c r="I141" s="71" t="s">
        <v>380</v>
      </c>
    </row>
    <row r="142" spans="1:9" ht="87" x14ac:dyDescent="0.35">
      <c r="A142" s="195">
        <v>1</v>
      </c>
      <c r="B142" s="195">
        <v>141</v>
      </c>
      <c r="C142" s="195" t="s">
        <v>523</v>
      </c>
      <c r="D142" s="195">
        <v>0</v>
      </c>
      <c r="E142" s="195" t="s">
        <v>373</v>
      </c>
      <c r="F142" s="71" t="s">
        <v>508</v>
      </c>
      <c r="G142" s="71" t="s">
        <v>369</v>
      </c>
      <c r="H142" s="71" t="s">
        <v>388</v>
      </c>
      <c r="I142" s="71" t="s">
        <v>382</v>
      </c>
    </row>
    <row r="143" spans="1:9" ht="87" x14ac:dyDescent="0.35">
      <c r="A143" s="195">
        <v>1</v>
      </c>
      <c r="B143" s="195">
        <v>142</v>
      </c>
      <c r="C143" s="195" t="s">
        <v>524</v>
      </c>
      <c r="D143" s="64">
        <v>22950</v>
      </c>
      <c r="E143" s="195" t="s">
        <v>373</v>
      </c>
      <c r="F143" s="71" t="s">
        <v>508</v>
      </c>
      <c r="G143" s="71" t="s">
        <v>369</v>
      </c>
      <c r="H143" s="71" t="s">
        <v>388</v>
      </c>
      <c r="I143" s="71" t="s">
        <v>384</v>
      </c>
    </row>
    <row r="144" spans="1:9" ht="87" x14ac:dyDescent="0.35">
      <c r="A144" s="195">
        <v>1</v>
      </c>
      <c r="B144" s="195">
        <v>143</v>
      </c>
      <c r="C144" s="195" t="s">
        <v>525</v>
      </c>
      <c r="D144" s="64">
        <v>1570</v>
      </c>
      <c r="E144" s="195" t="s">
        <v>373</v>
      </c>
      <c r="F144" s="71" t="s">
        <v>508</v>
      </c>
      <c r="G144" s="71" t="s">
        <v>369</v>
      </c>
      <c r="H144" s="71" t="s">
        <v>388</v>
      </c>
      <c r="I144" s="71" t="s">
        <v>386</v>
      </c>
    </row>
    <row r="145" spans="1:9" ht="87" x14ac:dyDescent="0.35">
      <c r="A145" s="195">
        <v>1</v>
      </c>
      <c r="B145" s="195">
        <v>144</v>
      </c>
      <c r="C145" s="195" t="s">
        <v>526</v>
      </c>
      <c r="D145" s="64">
        <v>40535</v>
      </c>
      <c r="E145" s="195" t="s">
        <v>366</v>
      </c>
      <c r="F145" s="71" t="s">
        <v>508</v>
      </c>
      <c r="G145" s="71" t="s">
        <v>369</v>
      </c>
      <c r="H145" s="71" t="s">
        <v>397</v>
      </c>
      <c r="I145" s="71" t="s">
        <v>364</v>
      </c>
    </row>
    <row r="146" spans="1:9" ht="87" x14ac:dyDescent="0.35">
      <c r="A146" s="195">
        <v>1</v>
      </c>
      <c r="B146" s="195">
        <v>145</v>
      </c>
      <c r="C146" s="195" t="s">
        <v>527</v>
      </c>
      <c r="D146" s="64">
        <v>16765</v>
      </c>
      <c r="E146" s="195" t="s">
        <v>373</v>
      </c>
      <c r="F146" s="71" t="s">
        <v>508</v>
      </c>
      <c r="G146" s="71" t="s">
        <v>369</v>
      </c>
      <c r="H146" s="71" t="s">
        <v>397</v>
      </c>
      <c r="I146" s="71" t="s">
        <v>374</v>
      </c>
    </row>
    <row r="147" spans="1:9" ht="87" x14ac:dyDescent="0.35">
      <c r="A147" s="195">
        <v>1</v>
      </c>
      <c r="B147" s="195">
        <v>146</v>
      </c>
      <c r="C147" s="195" t="s">
        <v>528</v>
      </c>
      <c r="D147" s="64">
        <v>11630</v>
      </c>
      <c r="E147" s="195" t="s">
        <v>373</v>
      </c>
      <c r="F147" s="71" t="s">
        <v>508</v>
      </c>
      <c r="G147" s="71" t="s">
        <v>369</v>
      </c>
      <c r="H147" s="71" t="s">
        <v>397</v>
      </c>
      <c r="I147" s="71" t="s">
        <v>376</v>
      </c>
    </row>
    <row r="148" spans="1:9" ht="87" x14ac:dyDescent="0.35">
      <c r="A148" s="195">
        <v>1</v>
      </c>
      <c r="B148" s="195">
        <v>147</v>
      </c>
      <c r="C148" s="195" t="s">
        <v>529</v>
      </c>
      <c r="D148" s="64">
        <v>2725</v>
      </c>
      <c r="E148" s="195" t="s">
        <v>373</v>
      </c>
      <c r="F148" s="71" t="s">
        <v>508</v>
      </c>
      <c r="G148" s="71" t="s">
        <v>369</v>
      </c>
      <c r="H148" s="71" t="s">
        <v>397</v>
      </c>
      <c r="I148" s="71" t="s">
        <v>378</v>
      </c>
    </row>
    <row r="149" spans="1:9" ht="87" x14ac:dyDescent="0.35">
      <c r="A149" s="195">
        <v>1</v>
      </c>
      <c r="B149" s="195">
        <v>148</v>
      </c>
      <c r="C149" s="195" t="s">
        <v>530</v>
      </c>
      <c r="D149" s="195">
        <v>65</v>
      </c>
      <c r="E149" s="195" t="s">
        <v>373</v>
      </c>
      <c r="F149" s="71" t="s">
        <v>508</v>
      </c>
      <c r="G149" s="71" t="s">
        <v>369</v>
      </c>
      <c r="H149" s="71" t="s">
        <v>397</v>
      </c>
      <c r="I149" s="71" t="s">
        <v>380</v>
      </c>
    </row>
    <row r="150" spans="1:9" ht="87" x14ac:dyDescent="0.35">
      <c r="A150" s="195">
        <v>1</v>
      </c>
      <c r="B150" s="195">
        <v>149</v>
      </c>
      <c r="C150" s="195" t="s">
        <v>531</v>
      </c>
      <c r="D150" s="195">
        <v>25</v>
      </c>
      <c r="E150" s="195" t="s">
        <v>373</v>
      </c>
      <c r="F150" s="71" t="s">
        <v>508</v>
      </c>
      <c r="G150" s="71" t="s">
        <v>369</v>
      </c>
      <c r="H150" s="71" t="s">
        <v>397</v>
      </c>
      <c r="I150" s="71" t="s">
        <v>382</v>
      </c>
    </row>
    <row r="151" spans="1:9" ht="87" x14ac:dyDescent="0.35">
      <c r="A151" s="195">
        <v>1</v>
      </c>
      <c r="B151" s="195">
        <v>150</v>
      </c>
      <c r="C151" s="195" t="s">
        <v>532</v>
      </c>
      <c r="D151" s="64">
        <v>8330</v>
      </c>
      <c r="E151" s="195" t="s">
        <v>373</v>
      </c>
      <c r="F151" s="71" t="s">
        <v>508</v>
      </c>
      <c r="G151" s="71" t="s">
        <v>369</v>
      </c>
      <c r="H151" s="71" t="s">
        <v>397</v>
      </c>
      <c r="I151" s="71" t="s">
        <v>384</v>
      </c>
    </row>
    <row r="152" spans="1:9" ht="87" x14ac:dyDescent="0.35">
      <c r="A152" s="195">
        <v>1</v>
      </c>
      <c r="B152" s="195">
        <v>151</v>
      </c>
      <c r="C152" s="195" t="s">
        <v>533</v>
      </c>
      <c r="D152" s="64">
        <v>1000</v>
      </c>
      <c r="E152" s="195" t="s">
        <v>373</v>
      </c>
      <c r="F152" s="71" t="s">
        <v>508</v>
      </c>
      <c r="G152" s="71" t="s">
        <v>369</v>
      </c>
      <c r="H152" s="71" t="s">
        <v>397</v>
      </c>
      <c r="I152" s="71" t="s">
        <v>386</v>
      </c>
    </row>
    <row r="153" spans="1:9" ht="87" x14ac:dyDescent="0.35">
      <c r="A153" s="195">
        <v>1</v>
      </c>
      <c r="B153" s="195">
        <v>152</v>
      </c>
      <c r="C153" s="195" t="s">
        <v>534</v>
      </c>
      <c r="D153" s="64">
        <v>10985</v>
      </c>
      <c r="E153" s="195" t="s">
        <v>366</v>
      </c>
      <c r="F153" s="71" t="s">
        <v>508</v>
      </c>
      <c r="G153" s="71" t="s">
        <v>369</v>
      </c>
      <c r="H153" s="71" t="s">
        <v>406</v>
      </c>
      <c r="I153" s="71" t="s">
        <v>364</v>
      </c>
    </row>
    <row r="154" spans="1:9" ht="87" x14ac:dyDescent="0.35">
      <c r="A154" s="195">
        <v>1</v>
      </c>
      <c r="B154" s="195">
        <v>153</v>
      </c>
      <c r="C154" s="195" t="s">
        <v>535</v>
      </c>
      <c r="D154" s="64">
        <v>6270</v>
      </c>
      <c r="E154" s="195" t="s">
        <v>373</v>
      </c>
      <c r="F154" s="71" t="s">
        <v>508</v>
      </c>
      <c r="G154" s="71" t="s">
        <v>369</v>
      </c>
      <c r="H154" s="71" t="s">
        <v>406</v>
      </c>
      <c r="I154" s="71" t="s">
        <v>374</v>
      </c>
    </row>
    <row r="155" spans="1:9" ht="87" x14ac:dyDescent="0.35">
      <c r="A155" s="195">
        <v>1</v>
      </c>
      <c r="B155" s="195">
        <v>154</v>
      </c>
      <c r="C155" s="195" t="s">
        <v>536</v>
      </c>
      <c r="D155" s="64">
        <v>1715</v>
      </c>
      <c r="E155" s="195" t="s">
        <v>373</v>
      </c>
      <c r="F155" s="71" t="s">
        <v>508</v>
      </c>
      <c r="G155" s="71" t="s">
        <v>369</v>
      </c>
      <c r="H155" s="71" t="s">
        <v>406</v>
      </c>
      <c r="I155" s="71" t="s">
        <v>376</v>
      </c>
    </row>
    <row r="156" spans="1:9" ht="87" x14ac:dyDescent="0.35">
      <c r="A156" s="195">
        <v>1</v>
      </c>
      <c r="B156" s="195">
        <v>155</v>
      </c>
      <c r="C156" s="195" t="s">
        <v>537</v>
      </c>
      <c r="D156" s="64">
        <v>1200</v>
      </c>
      <c r="E156" s="195" t="s">
        <v>373</v>
      </c>
      <c r="F156" s="71" t="s">
        <v>508</v>
      </c>
      <c r="G156" s="71" t="s">
        <v>369</v>
      </c>
      <c r="H156" s="71" t="s">
        <v>406</v>
      </c>
      <c r="I156" s="71" t="s">
        <v>378</v>
      </c>
    </row>
    <row r="157" spans="1:9" ht="87" x14ac:dyDescent="0.35">
      <c r="A157" s="195">
        <v>1</v>
      </c>
      <c r="B157" s="195">
        <v>156</v>
      </c>
      <c r="C157" s="195" t="s">
        <v>538</v>
      </c>
      <c r="D157" s="195">
        <v>0</v>
      </c>
      <c r="E157" s="195" t="s">
        <v>373</v>
      </c>
      <c r="F157" s="71" t="s">
        <v>508</v>
      </c>
      <c r="G157" s="71" t="s">
        <v>369</v>
      </c>
      <c r="H157" s="71" t="s">
        <v>406</v>
      </c>
      <c r="I157" s="71" t="s">
        <v>380</v>
      </c>
    </row>
    <row r="158" spans="1:9" ht="87" x14ac:dyDescent="0.35">
      <c r="A158" s="195">
        <v>1</v>
      </c>
      <c r="B158" s="195">
        <v>157</v>
      </c>
      <c r="C158" s="195" t="s">
        <v>539</v>
      </c>
      <c r="D158" s="195">
        <v>0</v>
      </c>
      <c r="E158" s="195" t="s">
        <v>373</v>
      </c>
      <c r="F158" s="71" t="s">
        <v>508</v>
      </c>
      <c r="G158" s="71" t="s">
        <v>369</v>
      </c>
      <c r="H158" s="71" t="s">
        <v>406</v>
      </c>
      <c r="I158" s="71" t="s">
        <v>382</v>
      </c>
    </row>
    <row r="159" spans="1:9" ht="87" x14ac:dyDescent="0.35">
      <c r="A159" s="195">
        <v>1</v>
      </c>
      <c r="B159" s="195">
        <v>158</v>
      </c>
      <c r="C159" s="195" t="s">
        <v>540</v>
      </c>
      <c r="D159" s="64">
        <v>1585</v>
      </c>
      <c r="E159" s="195" t="s">
        <v>373</v>
      </c>
      <c r="F159" s="71" t="s">
        <v>508</v>
      </c>
      <c r="G159" s="71" t="s">
        <v>369</v>
      </c>
      <c r="H159" s="71" t="s">
        <v>406</v>
      </c>
      <c r="I159" s="71" t="s">
        <v>384</v>
      </c>
    </row>
    <row r="160" spans="1:9" ht="87" x14ac:dyDescent="0.35">
      <c r="A160" s="195">
        <v>1</v>
      </c>
      <c r="B160" s="195">
        <v>159</v>
      </c>
      <c r="C160" s="195" t="s">
        <v>541</v>
      </c>
      <c r="D160" s="195">
        <v>215</v>
      </c>
      <c r="E160" s="195" t="s">
        <v>373</v>
      </c>
      <c r="F160" s="71" t="s">
        <v>508</v>
      </c>
      <c r="G160" s="71" t="s">
        <v>369</v>
      </c>
      <c r="H160" s="71" t="s">
        <v>406</v>
      </c>
      <c r="I160" s="71" t="s">
        <v>386</v>
      </c>
    </row>
    <row r="161" spans="1:9" ht="87" x14ac:dyDescent="0.35">
      <c r="A161" s="195">
        <v>1</v>
      </c>
      <c r="B161" s="195">
        <v>160</v>
      </c>
      <c r="C161" s="195" t="s">
        <v>542</v>
      </c>
      <c r="D161" s="64">
        <v>12220</v>
      </c>
      <c r="E161" s="195" t="s">
        <v>366</v>
      </c>
      <c r="F161" s="71" t="s">
        <v>508</v>
      </c>
      <c r="G161" s="71" t="s">
        <v>369</v>
      </c>
      <c r="H161" s="71" t="s">
        <v>415</v>
      </c>
      <c r="I161" s="71" t="s">
        <v>364</v>
      </c>
    </row>
    <row r="162" spans="1:9" ht="87" x14ac:dyDescent="0.35">
      <c r="A162" s="195">
        <v>1</v>
      </c>
      <c r="B162" s="195">
        <v>161</v>
      </c>
      <c r="C162" s="195" t="s">
        <v>543</v>
      </c>
      <c r="D162" s="64">
        <v>7755</v>
      </c>
      <c r="E162" s="195" t="s">
        <v>373</v>
      </c>
      <c r="F162" s="71" t="s">
        <v>508</v>
      </c>
      <c r="G162" s="71" t="s">
        <v>369</v>
      </c>
      <c r="H162" s="71" t="s">
        <v>415</v>
      </c>
      <c r="I162" s="71" t="s">
        <v>374</v>
      </c>
    </row>
    <row r="163" spans="1:9" ht="87" x14ac:dyDescent="0.35">
      <c r="A163" s="195">
        <v>1</v>
      </c>
      <c r="B163" s="195">
        <v>162</v>
      </c>
      <c r="C163" s="195" t="s">
        <v>544</v>
      </c>
      <c r="D163" s="64">
        <v>1645</v>
      </c>
      <c r="E163" s="195" t="s">
        <v>373</v>
      </c>
      <c r="F163" s="71" t="s">
        <v>508</v>
      </c>
      <c r="G163" s="71" t="s">
        <v>369</v>
      </c>
      <c r="H163" s="71" t="s">
        <v>415</v>
      </c>
      <c r="I163" s="71" t="s">
        <v>376</v>
      </c>
    </row>
    <row r="164" spans="1:9" ht="87" x14ac:dyDescent="0.35">
      <c r="A164" s="195">
        <v>1</v>
      </c>
      <c r="B164" s="195">
        <v>163</v>
      </c>
      <c r="C164" s="195" t="s">
        <v>545</v>
      </c>
      <c r="D164" s="64">
        <v>1180</v>
      </c>
      <c r="E164" s="195" t="s">
        <v>373</v>
      </c>
      <c r="F164" s="71" t="s">
        <v>508</v>
      </c>
      <c r="G164" s="71" t="s">
        <v>369</v>
      </c>
      <c r="H164" s="71" t="s">
        <v>415</v>
      </c>
      <c r="I164" s="71" t="s">
        <v>378</v>
      </c>
    </row>
    <row r="165" spans="1:9" ht="87" x14ac:dyDescent="0.35">
      <c r="A165" s="195">
        <v>1</v>
      </c>
      <c r="B165" s="195">
        <v>164</v>
      </c>
      <c r="C165" s="195" t="s">
        <v>546</v>
      </c>
      <c r="D165" s="195">
        <v>0</v>
      </c>
      <c r="E165" s="195" t="s">
        <v>373</v>
      </c>
      <c r="F165" s="71" t="s">
        <v>508</v>
      </c>
      <c r="G165" s="71" t="s">
        <v>369</v>
      </c>
      <c r="H165" s="71" t="s">
        <v>415</v>
      </c>
      <c r="I165" s="71" t="s">
        <v>380</v>
      </c>
    </row>
    <row r="166" spans="1:9" ht="87" x14ac:dyDescent="0.35">
      <c r="A166" s="195">
        <v>1</v>
      </c>
      <c r="B166" s="195">
        <v>165</v>
      </c>
      <c r="C166" s="195" t="s">
        <v>547</v>
      </c>
      <c r="D166" s="195">
        <v>0</v>
      </c>
      <c r="E166" s="195" t="s">
        <v>373</v>
      </c>
      <c r="F166" s="71" t="s">
        <v>508</v>
      </c>
      <c r="G166" s="71" t="s">
        <v>369</v>
      </c>
      <c r="H166" s="71" t="s">
        <v>415</v>
      </c>
      <c r="I166" s="71" t="s">
        <v>382</v>
      </c>
    </row>
    <row r="167" spans="1:9" ht="87" x14ac:dyDescent="0.35">
      <c r="A167" s="195">
        <v>1</v>
      </c>
      <c r="B167" s="195">
        <v>166</v>
      </c>
      <c r="C167" s="195" t="s">
        <v>548</v>
      </c>
      <c r="D167" s="64">
        <v>1420</v>
      </c>
      <c r="E167" s="195" t="s">
        <v>373</v>
      </c>
      <c r="F167" s="71" t="s">
        <v>508</v>
      </c>
      <c r="G167" s="71" t="s">
        <v>369</v>
      </c>
      <c r="H167" s="71" t="s">
        <v>415</v>
      </c>
      <c r="I167" s="71" t="s">
        <v>384</v>
      </c>
    </row>
    <row r="168" spans="1:9" ht="87" x14ac:dyDescent="0.35">
      <c r="A168" s="195">
        <v>1</v>
      </c>
      <c r="B168" s="195">
        <v>167</v>
      </c>
      <c r="C168" s="195" t="s">
        <v>549</v>
      </c>
      <c r="D168" s="195">
        <v>220</v>
      </c>
      <c r="E168" s="195" t="s">
        <v>373</v>
      </c>
      <c r="F168" s="71" t="s">
        <v>508</v>
      </c>
      <c r="G168" s="71" t="s">
        <v>369</v>
      </c>
      <c r="H168" s="71" t="s">
        <v>415</v>
      </c>
      <c r="I168" s="71" t="s">
        <v>386</v>
      </c>
    </row>
    <row r="169" spans="1:9" ht="29" x14ac:dyDescent="0.35">
      <c r="A169" s="195">
        <v>1</v>
      </c>
      <c r="B169" s="195">
        <v>168</v>
      </c>
      <c r="C169" s="195" t="s">
        <v>550</v>
      </c>
      <c r="D169" s="64">
        <v>272635</v>
      </c>
      <c r="E169" s="195" t="s">
        <v>366</v>
      </c>
      <c r="F169" s="71" t="s">
        <v>508</v>
      </c>
      <c r="G169" s="71" t="s">
        <v>424</v>
      </c>
      <c r="H169" s="71" t="s">
        <v>363</v>
      </c>
      <c r="I169" s="71" t="s">
        <v>364</v>
      </c>
    </row>
    <row r="170" spans="1:9" ht="29" x14ac:dyDescent="0.35">
      <c r="A170" s="195">
        <v>1</v>
      </c>
      <c r="B170" s="195">
        <v>169</v>
      </c>
      <c r="C170" s="195" t="s">
        <v>551</v>
      </c>
      <c r="D170" s="64">
        <v>22860</v>
      </c>
      <c r="E170" s="195" t="s">
        <v>366</v>
      </c>
      <c r="F170" s="71" t="s">
        <v>508</v>
      </c>
      <c r="G170" s="71" t="s">
        <v>424</v>
      </c>
      <c r="H170" s="71" t="s">
        <v>371</v>
      </c>
      <c r="I170" s="71" t="s">
        <v>364</v>
      </c>
    </row>
    <row r="171" spans="1:9" ht="29" x14ac:dyDescent="0.35">
      <c r="A171" s="195">
        <v>1</v>
      </c>
      <c r="B171" s="195">
        <v>170</v>
      </c>
      <c r="C171" s="195" t="s">
        <v>552</v>
      </c>
      <c r="D171" s="64">
        <v>4185</v>
      </c>
      <c r="E171" s="195" t="s">
        <v>373</v>
      </c>
      <c r="F171" s="71" t="s">
        <v>508</v>
      </c>
      <c r="G171" s="71" t="s">
        <v>424</v>
      </c>
      <c r="H171" s="71" t="s">
        <v>371</v>
      </c>
      <c r="I171" s="71" t="s">
        <v>374</v>
      </c>
    </row>
    <row r="172" spans="1:9" ht="29" x14ac:dyDescent="0.35">
      <c r="A172" s="195">
        <v>1</v>
      </c>
      <c r="B172" s="195">
        <v>171</v>
      </c>
      <c r="C172" s="195" t="s">
        <v>553</v>
      </c>
      <c r="D172" s="64">
        <v>12930</v>
      </c>
      <c r="E172" s="195" t="s">
        <v>373</v>
      </c>
      <c r="F172" s="71" t="s">
        <v>508</v>
      </c>
      <c r="G172" s="71" t="s">
        <v>424</v>
      </c>
      <c r="H172" s="71" t="s">
        <v>371</v>
      </c>
      <c r="I172" s="71" t="s">
        <v>376</v>
      </c>
    </row>
    <row r="173" spans="1:9" ht="29" x14ac:dyDescent="0.35">
      <c r="A173" s="195">
        <v>1</v>
      </c>
      <c r="B173" s="195">
        <v>172</v>
      </c>
      <c r="C173" s="195" t="s">
        <v>554</v>
      </c>
      <c r="D173" s="64">
        <v>1960</v>
      </c>
      <c r="E173" s="195" t="s">
        <v>373</v>
      </c>
      <c r="F173" s="71" t="s">
        <v>508</v>
      </c>
      <c r="G173" s="71" t="s">
        <v>424</v>
      </c>
      <c r="H173" s="71" t="s">
        <v>371</v>
      </c>
      <c r="I173" s="71" t="s">
        <v>378</v>
      </c>
    </row>
    <row r="174" spans="1:9" ht="29" x14ac:dyDescent="0.35">
      <c r="A174" s="195">
        <v>1</v>
      </c>
      <c r="B174" s="195">
        <v>173</v>
      </c>
      <c r="C174" s="195" t="s">
        <v>555</v>
      </c>
      <c r="D174" s="195">
        <v>30</v>
      </c>
      <c r="E174" s="195" t="s">
        <v>373</v>
      </c>
      <c r="F174" s="71" t="s">
        <v>508</v>
      </c>
      <c r="G174" s="71" t="s">
        <v>424</v>
      </c>
      <c r="H174" s="71" t="s">
        <v>371</v>
      </c>
      <c r="I174" s="71" t="s">
        <v>380</v>
      </c>
    </row>
    <row r="175" spans="1:9" ht="29" x14ac:dyDescent="0.35">
      <c r="A175" s="195">
        <v>1</v>
      </c>
      <c r="B175" s="195">
        <v>174</v>
      </c>
      <c r="C175" s="195" t="s">
        <v>556</v>
      </c>
      <c r="D175" s="195">
        <v>10</v>
      </c>
      <c r="E175" s="195" t="s">
        <v>373</v>
      </c>
      <c r="F175" s="71" t="s">
        <v>508</v>
      </c>
      <c r="G175" s="71" t="s">
        <v>424</v>
      </c>
      <c r="H175" s="71" t="s">
        <v>371</v>
      </c>
      <c r="I175" s="71" t="s">
        <v>382</v>
      </c>
    </row>
    <row r="176" spans="1:9" ht="29" x14ac:dyDescent="0.35">
      <c r="A176" s="195">
        <v>1</v>
      </c>
      <c r="B176" s="195">
        <v>175</v>
      </c>
      <c r="C176" s="195" t="s">
        <v>557</v>
      </c>
      <c r="D176" s="64">
        <v>3265</v>
      </c>
      <c r="E176" s="195" t="s">
        <v>373</v>
      </c>
      <c r="F176" s="71" t="s">
        <v>508</v>
      </c>
      <c r="G176" s="71" t="s">
        <v>424</v>
      </c>
      <c r="H176" s="71" t="s">
        <v>371</v>
      </c>
      <c r="I176" s="71" t="s">
        <v>384</v>
      </c>
    </row>
    <row r="177" spans="1:9" ht="29" x14ac:dyDescent="0.35">
      <c r="A177" s="195">
        <v>1</v>
      </c>
      <c r="B177" s="195">
        <v>176</v>
      </c>
      <c r="C177" s="195" t="s">
        <v>558</v>
      </c>
      <c r="D177" s="195">
        <v>480</v>
      </c>
      <c r="E177" s="195" t="s">
        <v>373</v>
      </c>
      <c r="F177" s="71" t="s">
        <v>508</v>
      </c>
      <c r="G177" s="71" t="s">
        <v>424</v>
      </c>
      <c r="H177" s="71" t="s">
        <v>371</v>
      </c>
      <c r="I177" s="71" t="s">
        <v>386</v>
      </c>
    </row>
    <row r="178" spans="1:9" ht="43.5" x14ac:dyDescent="0.35">
      <c r="A178" s="195">
        <v>1</v>
      </c>
      <c r="B178" s="195">
        <v>177</v>
      </c>
      <c r="C178" s="195" t="s">
        <v>559</v>
      </c>
      <c r="D178" s="64">
        <v>21650</v>
      </c>
      <c r="E178" s="195" t="s">
        <v>366</v>
      </c>
      <c r="F178" s="71" t="s">
        <v>508</v>
      </c>
      <c r="G178" s="71" t="s">
        <v>424</v>
      </c>
      <c r="H178" s="71" t="s">
        <v>388</v>
      </c>
      <c r="I178" s="71" t="s">
        <v>364</v>
      </c>
    </row>
    <row r="179" spans="1:9" ht="43.5" x14ac:dyDescent="0.35">
      <c r="A179" s="195">
        <v>1</v>
      </c>
      <c r="B179" s="195">
        <v>178</v>
      </c>
      <c r="C179" s="195" t="s">
        <v>560</v>
      </c>
      <c r="D179" s="64">
        <v>3160</v>
      </c>
      <c r="E179" s="195" t="s">
        <v>373</v>
      </c>
      <c r="F179" s="71" t="s">
        <v>508</v>
      </c>
      <c r="G179" s="71" t="s">
        <v>424</v>
      </c>
      <c r="H179" s="71" t="s">
        <v>388</v>
      </c>
      <c r="I179" s="71" t="s">
        <v>374</v>
      </c>
    </row>
    <row r="180" spans="1:9" ht="43.5" x14ac:dyDescent="0.35">
      <c r="A180" s="195">
        <v>1</v>
      </c>
      <c r="B180" s="195">
        <v>179</v>
      </c>
      <c r="C180" s="195" t="s">
        <v>561</v>
      </c>
      <c r="D180" s="64">
        <v>9620</v>
      </c>
      <c r="E180" s="195" t="s">
        <v>373</v>
      </c>
      <c r="F180" s="71" t="s">
        <v>508</v>
      </c>
      <c r="G180" s="71" t="s">
        <v>424</v>
      </c>
      <c r="H180" s="71" t="s">
        <v>388</v>
      </c>
      <c r="I180" s="71" t="s">
        <v>376</v>
      </c>
    </row>
    <row r="181" spans="1:9" ht="43.5" x14ac:dyDescent="0.35">
      <c r="A181" s="195">
        <v>1</v>
      </c>
      <c r="B181" s="195">
        <v>180</v>
      </c>
      <c r="C181" s="195" t="s">
        <v>562</v>
      </c>
      <c r="D181" s="64">
        <v>815</v>
      </c>
      <c r="E181" s="195" t="s">
        <v>373</v>
      </c>
      <c r="F181" s="71" t="s">
        <v>508</v>
      </c>
      <c r="G181" s="71" t="s">
        <v>424</v>
      </c>
      <c r="H181" s="71" t="s">
        <v>388</v>
      </c>
      <c r="I181" s="71" t="s">
        <v>378</v>
      </c>
    </row>
    <row r="182" spans="1:9" ht="43.5" x14ac:dyDescent="0.35">
      <c r="A182" s="195">
        <v>1</v>
      </c>
      <c r="B182" s="195">
        <v>181</v>
      </c>
      <c r="C182" s="195" t="s">
        <v>563</v>
      </c>
      <c r="D182" s="195">
        <v>35</v>
      </c>
      <c r="E182" s="195" t="s">
        <v>373</v>
      </c>
      <c r="F182" s="71" t="s">
        <v>508</v>
      </c>
      <c r="G182" s="71" t="s">
        <v>424</v>
      </c>
      <c r="H182" s="71" t="s">
        <v>388</v>
      </c>
      <c r="I182" s="71" t="s">
        <v>380</v>
      </c>
    </row>
    <row r="183" spans="1:9" ht="43.5" x14ac:dyDescent="0.35">
      <c r="A183" s="195">
        <v>1</v>
      </c>
      <c r="B183" s="195">
        <v>182</v>
      </c>
      <c r="C183" s="195" t="s">
        <v>564</v>
      </c>
      <c r="D183" s="195">
        <v>0</v>
      </c>
      <c r="E183" s="195" t="s">
        <v>373</v>
      </c>
      <c r="F183" s="71" t="s">
        <v>508</v>
      </c>
      <c r="G183" s="71" t="s">
        <v>424</v>
      </c>
      <c r="H183" s="71" t="s">
        <v>388</v>
      </c>
      <c r="I183" s="71" t="s">
        <v>382</v>
      </c>
    </row>
    <row r="184" spans="1:9" ht="43.5" x14ac:dyDescent="0.35">
      <c r="A184" s="195">
        <v>1</v>
      </c>
      <c r="B184" s="195">
        <v>183</v>
      </c>
      <c r="C184" s="195" t="s">
        <v>565</v>
      </c>
      <c r="D184" s="64">
        <v>7770</v>
      </c>
      <c r="E184" s="195" t="s">
        <v>373</v>
      </c>
      <c r="F184" s="71" t="s">
        <v>508</v>
      </c>
      <c r="G184" s="71" t="s">
        <v>424</v>
      </c>
      <c r="H184" s="71" t="s">
        <v>388</v>
      </c>
      <c r="I184" s="71" t="s">
        <v>384</v>
      </c>
    </row>
    <row r="185" spans="1:9" ht="43.5" x14ac:dyDescent="0.35">
      <c r="A185" s="195">
        <v>1</v>
      </c>
      <c r="B185" s="195">
        <v>184</v>
      </c>
      <c r="C185" s="195" t="s">
        <v>566</v>
      </c>
      <c r="D185" s="195">
        <v>250</v>
      </c>
      <c r="E185" s="195" t="s">
        <v>373</v>
      </c>
      <c r="F185" s="71" t="s">
        <v>508</v>
      </c>
      <c r="G185" s="71" t="s">
        <v>424</v>
      </c>
      <c r="H185" s="71" t="s">
        <v>388</v>
      </c>
      <c r="I185" s="71" t="s">
        <v>386</v>
      </c>
    </row>
    <row r="186" spans="1:9" ht="43.5" x14ac:dyDescent="0.35">
      <c r="A186" s="195">
        <v>1</v>
      </c>
      <c r="B186" s="195">
        <v>185</v>
      </c>
      <c r="C186" s="195" t="s">
        <v>567</v>
      </c>
      <c r="D186" s="64">
        <v>58850</v>
      </c>
      <c r="E186" s="195" t="s">
        <v>366</v>
      </c>
      <c r="F186" s="71" t="s">
        <v>508</v>
      </c>
      <c r="G186" s="71" t="s">
        <v>424</v>
      </c>
      <c r="H186" s="71" t="s">
        <v>397</v>
      </c>
      <c r="I186" s="71" t="s">
        <v>364</v>
      </c>
    </row>
    <row r="187" spans="1:9" ht="43.5" x14ac:dyDescent="0.35">
      <c r="A187" s="195">
        <v>1</v>
      </c>
      <c r="B187" s="195">
        <v>186</v>
      </c>
      <c r="C187" s="195" t="s">
        <v>568</v>
      </c>
      <c r="D187" s="64">
        <v>16180</v>
      </c>
      <c r="E187" s="195" t="s">
        <v>373</v>
      </c>
      <c r="F187" s="71" t="s">
        <v>508</v>
      </c>
      <c r="G187" s="71" t="s">
        <v>424</v>
      </c>
      <c r="H187" s="71" t="s">
        <v>397</v>
      </c>
      <c r="I187" s="71" t="s">
        <v>374</v>
      </c>
    </row>
    <row r="188" spans="1:9" ht="43.5" x14ac:dyDescent="0.35">
      <c r="A188" s="195">
        <v>1</v>
      </c>
      <c r="B188" s="195">
        <v>187</v>
      </c>
      <c r="C188" s="195" t="s">
        <v>569</v>
      </c>
      <c r="D188" s="64">
        <v>21500</v>
      </c>
      <c r="E188" s="195" t="s">
        <v>373</v>
      </c>
      <c r="F188" s="71" t="s">
        <v>508</v>
      </c>
      <c r="G188" s="71" t="s">
        <v>424</v>
      </c>
      <c r="H188" s="71" t="s">
        <v>397</v>
      </c>
      <c r="I188" s="71" t="s">
        <v>376</v>
      </c>
    </row>
    <row r="189" spans="1:9" ht="43.5" x14ac:dyDescent="0.35">
      <c r="A189" s="195">
        <v>1</v>
      </c>
      <c r="B189" s="195">
        <v>188</v>
      </c>
      <c r="C189" s="195" t="s">
        <v>570</v>
      </c>
      <c r="D189" s="64">
        <v>2165</v>
      </c>
      <c r="E189" s="195" t="s">
        <v>373</v>
      </c>
      <c r="F189" s="71" t="s">
        <v>508</v>
      </c>
      <c r="G189" s="71" t="s">
        <v>424</v>
      </c>
      <c r="H189" s="71" t="s">
        <v>397</v>
      </c>
      <c r="I189" s="71" t="s">
        <v>378</v>
      </c>
    </row>
    <row r="190" spans="1:9" ht="43.5" x14ac:dyDescent="0.35">
      <c r="A190" s="195">
        <v>1</v>
      </c>
      <c r="B190" s="195">
        <v>189</v>
      </c>
      <c r="C190" s="195" t="s">
        <v>571</v>
      </c>
      <c r="D190" s="195">
        <v>280</v>
      </c>
      <c r="E190" s="195" t="s">
        <v>373</v>
      </c>
      <c r="F190" s="71" t="s">
        <v>508</v>
      </c>
      <c r="G190" s="71" t="s">
        <v>424</v>
      </c>
      <c r="H190" s="71" t="s">
        <v>397</v>
      </c>
      <c r="I190" s="71" t="s">
        <v>380</v>
      </c>
    </row>
    <row r="191" spans="1:9" ht="43.5" x14ac:dyDescent="0.35">
      <c r="A191" s="195">
        <v>1</v>
      </c>
      <c r="B191" s="195">
        <v>190</v>
      </c>
      <c r="C191" s="195" t="s">
        <v>572</v>
      </c>
      <c r="D191" s="195">
        <v>0</v>
      </c>
      <c r="E191" s="195" t="s">
        <v>373</v>
      </c>
      <c r="F191" s="71" t="s">
        <v>508</v>
      </c>
      <c r="G191" s="71" t="s">
        <v>424</v>
      </c>
      <c r="H191" s="71" t="s">
        <v>397</v>
      </c>
      <c r="I191" s="71" t="s">
        <v>382</v>
      </c>
    </row>
    <row r="192" spans="1:9" ht="43.5" x14ac:dyDescent="0.35">
      <c r="A192" s="195">
        <v>1</v>
      </c>
      <c r="B192" s="195">
        <v>191</v>
      </c>
      <c r="C192" s="195" t="s">
        <v>573</v>
      </c>
      <c r="D192" s="64">
        <v>17710</v>
      </c>
      <c r="E192" s="195" t="s">
        <v>373</v>
      </c>
      <c r="F192" s="71" t="s">
        <v>508</v>
      </c>
      <c r="G192" s="71" t="s">
        <v>424</v>
      </c>
      <c r="H192" s="71" t="s">
        <v>397</v>
      </c>
      <c r="I192" s="71" t="s">
        <v>384</v>
      </c>
    </row>
    <row r="193" spans="1:9" ht="43.5" x14ac:dyDescent="0.35">
      <c r="A193" s="195">
        <v>1</v>
      </c>
      <c r="B193" s="195">
        <v>192</v>
      </c>
      <c r="C193" s="195" t="s">
        <v>574</v>
      </c>
      <c r="D193" s="64">
        <v>1015</v>
      </c>
      <c r="E193" s="195" t="s">
        <v>373</v>
      </c>
      <c r="F193" s="71" t="s">
        <v>508</v>
      </c>
      <c r="G193" s="71" t="s">
        <v>424</v>
      </c>
      <c r="H193" s="71" t="s">
        <v>397</v>
      </c>
      <c r="I193" s="71" t="s">
        <v>386</v>
      </c>
    </row>
    <row r="194" spans="1:9" ht="43.5" x14ac:dyDescent="0.35">
      <c r="A194" s="195">
        <v>1</v>
      </c>
      <c r="B194" s="195">
        <v>193</v>
      </c>
      <c r="C194" s="195" t="s">
        <v>575</v>
      </c>
      <c r="D194" s="64">
        <v>34705</v>
      </c>
      <c r="E194" s="195" t="s">
        <v>366</v>
      </c>
      <c r="F194" s="71" t="s">
        <v>508</v>
      </c>
      <c r="G194" s="71" t="s">
        <v>424</v>
      </c>
      <c r="H194" s="71" t="s">
        <v>406</v>
      </c>
      <c r="I194" s="71" t="s">
        <v>364</v>
      </c>
    </row>
    <row r="195" spans="1:9" ht="43.5" x14ac:dyDescent="0.35">
      <c r="A195" s="195">
        <v>1</v>
      </c>
      <c r="B195" s="195">
        <v>194</v>
      </c>
      <c r="C195" s="195" t="s">
        <v>576</v>
      </c>
      <c r="D195" s="64">
        <v>14055</v>
      </c>
      <c r="E195" s="195" t="s">
        <v>373</v>
      </c>
      <c r="F195" s="71" t="s">
        <v>508</v>
      </c>
      <c r="G195" s="71" t="s">
        <v>424</v>
      </c>
      <c r="H195" s="71" t="s">
        <v>406</v>
      </c>
      <c r="I195" s="71" t="s">
        <v>374</v>
      </c>
    </row>
    <row r="196" spans="1:9" ht="43.5" x14ac:dyDescent="0.35">
      <c r="A196" s="195">
        <v>1</v>
      </c>
      <c r="B196" s="195">
        <v>195</v>
      </c>
      <c r="C196" s="195" t="s">
        <v>577</v>
      </c>
      <c r="D196" s="64">
        <v>10470</v>
      </c>
      <c r="E196" s="195" t="s">
        <v>373</v>
      </c>
      <c r="F196" s="71" t="s">
        <v>508</v>
      </c>
      <c r="G196" s="71" t="s">
        <v>424</v>
      </c>
      <c r="H196" s="71" t="s">
        <v>406</v>
      </c>
      <c r="I196" s="71" t="s">
        <v>376</v>
      </c>
    </row>
    <row r="197" spans="1:9" ht="43.5" x14ac:dyDescent="0.35">
      <c r="A197" s="195">
        <v>1</v>
      </c>
      <c r="B197" s="195">
        <v>196</v>
      </c>
      <c r="C197" s="195" t="s">
        <v>578</v>
      </c>
      <c r="D197" s="64">
        <v>1870</v>
      </c>
      <c r="E197" s="195" t="s">
        <v>373</v>
      </c>
      <c r="F197" s="71" t="s">
        <v>508</v>
      </c>
      <c r="G197" s="71" t="s">
        <v>424</v>
      </c>
      <c r="H197" s="71" t="s">
        <v>406</v>
      </c>
      <c r="I197" s="71" t="s">
        <v>378</v>
      </c>
    </row>
    <row r="198" spans="1:9" ht="43.5" x14ac:dyDescent="0.35">
      <c r="A198" s="195">
        <v>1</v>
      </c>
      <c r="B198" s="195">
        <v>197</v>
      </c>
      <c r="C198" s="195" t="s">
        <v>579</v>
      </c>
      <c r="D198" s="195">
        <v>0</v>
      </c>
      <c r="E198" s="195" t="s">
        <v>373</v>
      </c>
      <c r="F198" s="71" t="s">
        <v>508</v>
      </c>
      <c r="G198" s="71" t="s">
        <v>424</v>
      </c>
      <c r="H198" s="71" t="s">
        <v>406</v>
      </c>
      <c r="I198" s="71" t="s">
        <v>380</v>
      </c>
    </row>
    <row r="199" spans="1:9" ht="43.5" x14ac:dyDescent="0.35">
      <c r="A199" s="195">
        <v>1</v>
      </c>
      <c r="B199" s="195">
        <v>198</v>
      </c>
      <c r="C199" s="195" t="s">
        <v>580</v>
      </c>
      <c r="D199" s="195">
        <v>30</v>
      </c>
      <c r="E199" s="195" t="s">
        <v>373</v>
      </c>
      <c r="F199" s="71" t="s">
        <v>508</v>
      </c>
      <c r="G199" s="71" t="s">
        <v>424</v>
      </c>
      <c r="H199" s="71" t="s">
        <v>406</v>
      </c>
      <c r="I199" s="71" t="s">
        <v>382</v>
      </c>
    </row>
    <row r="200" spans="1:9" ht="43.5" x14ac:dyDescent="0.35">
      <c r="A200" s="195">
        <v>1</v>
      </c>
      <c r="B200" s="195">
        <v>199</v>
      </c>
      <c r="C200" s="195" t="s">
        <v>581</v>
      </c>
      <c r="D200" s="64">
        <v>7580</v>
      </c>
      <c r="E200" s="195" t="s">
        <v>373</v>
      </c>
      <c r="F200" s="71" t="s">
        <v>508</v>
      </c>
      <c r="G200" s="71" t="s">
        <v>424</v>
      </c>
      <c r="H200" s="71" t="s">
        <v>406</v>
      </c>
      <c r="I200" s="71" t="s">
        <v>384</v>
      </c>
    </row>
    <row r="201" spans="1:9" ht="43.5" x14ac:dyDescent="0.35">
      <c r="A201" s="195">
        <v>1</v>
      </c>
      <c r="B201" s="195">
        <v>200</v>
      </c>
      <c r="C201" s="195" t="s">
        <v>582</v>
      </c>
      <c r="D201" s="195">
        <v>700</v>
      </c>
      <c r="E201" s="195" t="s">
        <v>373</v>
      </c>
      <c r="F201" s="71" t="s">
        <v>508</v>
      </c>
      <c r="G201" s="71" t="s">
        <v>424</v>
      </c>
      <c r="H201" s="71" t="s">
        <v>406</v>
      </c>
      <c r="I201" s="71" t="s">
        <v>386</v>
      </c>
    </row>
    <row r="202" spans="1:9" ht="29" x14ac:dyDescent="0.35">
      <c r="A202" s="195">
        <v>1</v>
      </c>
      <c r="B202" s="195">
        <v>201</v>
      </c>
      <c r="C202" s="195" t="s">
        <v>583</v>
      </c>
      <c r="D202" s="64">
        <v>134565</v>
      </c>
      <c r="E202" s="195" t="s">
        <v>366</v>
      </c>
      <c r="F202" s="71" t="s">
        <v>508</v>
      </c>
      <c r="G202" s="71" t="s">
        <v>424</v>
      </c>
      <c r="H202" s="71" t="s">
        <v>415</v>
      </c>
      <c r="I202" s="71" t="s">
        <v>364</v>
      </c>
    </row>
    <row r="203" spans="1:9" ht="29" x14ac:dyDescent="0.35">
      <c r="A203" s="195">
        <v>1</v>
      </c>
      <c r="B203" s="195">
        <v>202</v>
      </c>
      <c r="C203" s="195" t="s">
        <v>584</v>
      </c>
      <c r="D203" s="64">
        <v>84645</v>
      </c>
      <c r="E203" s="195" t="s">
        <v>373</v>
      </c>
      <c r="F203" s="71" t="s">
        <v>508</v>
      </c>
      <c r="G203" s="71" t="s">
        <v>424</v>
      </c>
      <c r="H203" s="71" t="s">
        <v>415</v>
      </c>
      <c r="I203" s="71" t="s">
        <v>374</v>
      </c>
    </row>
    <row r="204" spans="1:9" ht="29" x14ac:dyDescent="0.35">
      <c r="A204" s="195">
        <v>1</v>
      </c>
      <c r="B204" s="195">
        <v>203</v>
      </c>
      <c r="C204" s="195" t="s">
        <v>585</v>
      </c>
      <c r="D204" s="64">
        <v>21050</v>
      </c>
      <c r="E204" s="195" t="s">
        <v>373</v>
      </c>
      <c r="F204" s="71" t="s">
        <v>508</v>
      </c>
      <c r="G204" s="71" t="s">
        <v>424</v>
      </c>
      <c r="H204" s="71" t="s">
        <v>415</v>
      </c>
      <c r="I204" s="71" t="s">
        <v>376</v>
      </c>
    </row>
    <row r="205" spans="1:9" ht="29" x14ac:dyDescent="0.35">
      <c r="A205" s="195">
        <v>1</v>
      </c>
      <c r="B205" s="195">
        <v>204</v>
      </c>
      <c r="C205" s="195" t="s">
        <v>586</v>
      </c>
      <c r="D205" s="64">
        <v>10660</v>
      </c>
      <c r="E205" s="195" t="s">
        <v>373</v>
      </c>
      <c r="F205" s="71" t="s">
        <v>508</v>
      </c>
      <c r="G205" s="71" t="s">
        <v>424</v>
      </c>
      <c r="H205" s="71" t="s">
        <v>415</v>
      </c>
      <c r="I205" s="71" t="s">
        <v>378</v>
      </c>
    </row>
    <row r="206" spans="1:9" ht="29" x14ac:dyDescent="0.35">
      <c r="A206" s="195">
        <v>1</v>
      </c>
      <c r="B206" s="195">
        <v>205</v>
      </c>
      <c r="C206" s="195" t="s">
        <v>587</v>
      </c>
      <c r="D206" s="195">
        <v>150</v>
      </c>
      <c r="E206" s="195" t="s">
        <v>373</v>
      </c>
      <c r="F206" s="71" t="s">
        <v>508</v>
      </c>
      <c r="G206" s="71" t="s">
        <v>424</v>
      </c>
      <c r="H206" s="71" t="s">
        <v>415</v>
      </c>
      <c r="I206" s="71" t="s">
        <v>380</v>
      </c>
    </row>
    <row r="207" spans="1:9" ht="29" x14ac:dyDescent="0.35">
      <c r="A207" s="195">
        <v>1</v>
      </c>
      <c r="B207" s="195">
        <v>206</v>
      </c>
      <c r="C207" s="195" t="s">
        <v>588</v>
      </c>
      <c r="D207" s="195">
        <v>30</v>
      </c>
      <c r="E207" s="195" t="s">
        <v>373</v>
      </c>
      <c r="F207" s="71" t="s">
        <v>508</v>
      </c>
      <c r="G207" s="71" t="s">
        <v>424</v>
      </c>
      <c r="H207" s="71" t="s">
        <v>415</v>
      </c>
      <c r="I207" s="71" t="s">
        <v>382</v>
      </c>
    </row>
    <row r="208" spans="1:9" ht="29" x14ac:dyDescent="0.35">
      <c r="A208" s="195">
        <v>1</v>
      </c>
      <c r="B208" s="195">
        <v>207</v>
      </c>
      <c r="C208" s="195" t="s">
        <v>589</v>
      </c>
      <c r="D208" s="64">
        <v>15325</v>
      </c>
      <c r="E208" s="195" t="s">
        <v>373</v>
      </c>
      <c r="F208" s="71" t="s">
        <v>508</v>
      </c>
      <c r="G208" s="71" t="s">
        <v>424</v>
      </c>
      <c r="H208" s="71" t="s">
        <v>415</v>
      </c>
      <c r="I208" s="71" t="s">
        <v>384</v>
      </c>
    </row>
    <row r="209" spans="1:9" ht="29" x14ac:dyDescent="0.35">
      <c r="A209" s="195">
        <v>1</v>
      </c>
      <c r="B209" s="195">
        <v>208</v>
      </c>
      <c r="C209" s="195" t="s">
        <v>590</v>
      </c>
      <c r="D209" s="64">
        <v>2710</v>
      </c>
      <c r="E209" s="195" t="s">
        <v>373</v>
      </c>
      <c r="F209" s="71" t="s">
        <v>508</v>
      </c>
      <c r="G209" s="71" t="s">
        <v>424</v>
      </c>
      <c r="H209" s="71" t="s">
        <v>415</v>
      </c>
      <c r="I209" s="71" t="s">
        <v>386</v>
      </c>
    </row>
    <row r="210" spans="1:9" ht="43.5" x14ac:dyDescent="0.35">
      <c r="A210" s="195">
        <v>1</v>
      </c>
      <c r="B210" s="195">
        <v>209</v>
      </c>
      <c r="C210" s="195" t="s">
        <v>591</v>
      </c>
      <c r="D210" s="64">
        <v>21310</v>
      </c>
      <c r="E210" s="195" t="s">
        <v>366</v>
      </c>
      <c r="F210" s="71" t="s">
        <v>508</v>
      </c>
      <c r="G210" s="71" t="s">
        <v>466</v>
      </c>
      <c r="H210" s="71" t="s">
        <v>363</v>
      </c>
      <c r="I210" s="71" t="s">
        <v>364</v>
      </c>
    </row>
    <row r="211" spans="1:9" ht="43.5" x14ac:dyDescent="0.35">
      <c r="A211" s="195">
        <v>1</v>
      </c>
      <c r="B211" s="195">
        <v>210</v>
      </c>
      <c r="C211" s="195" t="s">
        <v>592</v>
      </c>
      <c r="D211" s="64">
        <v>21310</v>
      </c>
      <c r="E211" s="195" t="s">
        <v>366</v>
      </c>
      <c r="F211" s="71" t="s">
        <v>508</v>
      </c>
      <c r="G211" s="71" t="s">
        <v>466</v>
      </c>
      <c r="H211" s="71" t="s">
        <v>371</v>
      </c>
      <c r="I211" s="71" t="s">
        <v>364</v>
      </c>
    </row>
    <row r="212" spans="1:9" ht="43.5" x14ac:dyDescent="0.35">
      <c r="A212" s="195">
        <v>1</v>
      </c>
      <c r="B212" s="195">
        <v>211</v>
      </c>
      <c r="C212" s="195" t="s">
        <v>593</v>
      </c>
      <c r="D212" s="64">
        <v>4295</v>
      </c>
      <c r="E212" s="195" t="s">
        <v>373</v>
      </c>
      <c r="F212" s="71" t="s">
        <v>508</v>
      </c>
      <c r="G212" s="71" t="s">
        <v>466</v>
      </c>
      <c r="H212" s="71" t="s">
        <v>371</v>
      </c>
      <c r="I212" s="71" t="s">
        <v>374</v>
      </c>
    </row>
    <row r="213" spans="1:9" ht="43.5" x14ac:dyDescent="0.35">
      <c r="A213" s="195">
        <v>1</v>
      </c>
      <c r="B213" s="195">
        <v>212</v>
      </c>
      <c r="C213" s="195" t="s">
        <v>594</v>
      </c>
      <c r="D213" s="64">
        <v>11755</v>
      </c>
      <c r="E213" s="195" t="s">
        <v>373</v>
      </c>
      <c r="F213" s="71" t="s">
        <v>508</v>
      </c>
      <c r="G213" s="71" t="s">
        <v>466</v>
      </c>
      <c r="H213" s="71" t="s">
        <v>371</v>
      </c>
      <c r="I213" s="71" t="s">
        <v>376</v>
      </c>
    </row>
    <row r="214" spans="1:9" ht="43.5" x14ac:dyDescent="0.35">
      <c r="A214" s="195">
        <v>1</v>
      </c>
      <c r="B214" s="195">
        <v>213</v>
      </c>
      <c r="C214" s="195" t="s">
        <v>595</v>
      </c>
      <c r="D214" s="64">
        <v>2295</v>
      </c>
      <c r="E214" s="195" t="s">
        <v>373</v>
      </c>
      <c r="F214" s="71" t="s">
        <v>508</v>
      </c>
      <c r="G214" s="71" t="s">
        <v>466</v>
      </c>
      <c r="H214" s="71" t="s">
        <v>371</v>
      </c>
      <c r="I214" s="71" t="s">
        <v>378</v>
      </c>
    </row>
    <row r="215" spans="1:9" ht="43.5" x14ac:dyDescent="0.35">
      <c r="A215" s="195">
        <v>1</v>
      </c>
      <c r="B215" s="195">
        <v>214</v>
      </c>
      <c r="C215" s="195" t="s">
        <v>596</v>
      </c>
      <c r="D215" s="195">
        <v>60</v>
      </c>
      <c r="E215" s="195" t="s">
        <v>373</v>
      </c>
      <c r="F215" s="71" t="s">
        <v>508</v>
      </c>
      <c r="G215" s="71" t="s">
        <v>466</v>
      </c>
      <c r="H215" s="71" t="s">
        <v>371</v>
      </c>
      <c r="I215" s="71" t="s">
        <v>380</v>
      </c>
    </row>
    <row r="216" spans="1:9" ht="43.5" x14ac:dyDescent="0.35">
      <c r="A216" s="195">
        <v>1</v>
      </c>
      <c r="B216" s="195">
        <v>215</v>
      </c>
      <c r="C216" s="195" t="s">
        <v>597</v>
      </c>
      <c r="D216" s="195">
        <v>10</v>
      </c>
      <c r="E216" s="195" t="s">
        <v>373</v>
      </c>
      <c r="F216" s="71" t="s">
        <v>508</v>
      </c>
      <c r="G216" s="71" t="s">
        <v>466</v>
      </c>
      <c r="H216" s="71" t="s">
        <v>371</v>
      </c>
      <c r="I216" s="71" t="s">
        <v>382</v>
      </c>
    </row>
    <row r="217" spans="1:9" ht="43.5" x14ac:dyDescent="0.35">
      <c r="A217" s="195">
        <v>1</v>
      </c>
      <c r="B217" s="195">
        <v>216</v>
      </c>
      <c r="C217" s="195" t="s">
        <v>598</v>
      </c>
      <c r="D217" s="64">
        <v>2475</v>
      </c>
      <c r="E217" s="195" t="s">
        <v>373</v>
      </c>
      <c r="F217" s="71" t="s">
        <v>508</v>
      </c>
      <c r="G217" s="71" t="s">
        <v>466</v>
      </c>
      <c r="H217" s="71" t="s">
        <v>371</v>
      </c>
      <c r="I217" s="71" t="s">
        <v>384</v>
      </c>
    </row>
    <row r="218" spans="1:9" ht="43.5" x14ac:dyDescent="0.35">
      <c r="A218" s="195">
        <v>1</v>
      </c>
      <c r="B218" s="195">
        <v>217</v>
      </c>
      <c r="C218" s="195" t="s">
        <v>599</v>
      </c>
      <c r="D218" s="195">
        <v>420</v>
      </c>
      <c r="E218" s="195" t="s">
        <v>373</v>
      </c>
      <c r="F218" s="71" t="s">
        <v>508</v>
      </c>
      <c r="G218" s="71" t="s">
        <v>466</v>
      </c>
      <c r="H218" s="71" t="s">
        <v>371</v>
      </c>
      <c r="I218" s="71" t="s">
        <v>386</v>
      </c>
    </row>
    <row r="219" spans="1:9" ht="43.5" x14ac:dyDescent="0.35">
      <c r="A219" s="195">
        <v>1</v>
      </c>
      <c r="B219" s="195">
        <v>218</v>
      </c>
      <c r="C219" s="195" t="s">
        <v>600</v>
      </c>
      <c r="D219" s="195">
        <v>0</v>
      </c>
      <c r="E219" s="195" t="s">
        <v>366</v>
      </c>
      <c r="F219" s="71" t="s">
        <v>508</v>
      </c>
      <c r="G219" s="71" t="s">
        <v>466</v>
      </c>
      <c r="H219" s="71" t="s">
        <v>388</v>
      </c>
      <c r="I219" s="71" t="s">
        <v>364</v>
      </c>
    </row>
    <row r="220" spans="1:9" ht="43.5" x14ac:dyDescent="0.35">
      <c r="A220" s="195">
        <v>1</v>
      </c>
      <c r="B220" s="195">
        <v>219</v>
      </c>
      <c r="C220" s="195" t="s">
        <v>601</v>
      </c>
      <c r="D220" s="195">
        <v>0</v>
      </c>
      <c r="E220" s="195" t="s">
        <v>373</v>
      </c>
      <c r="F220" s="71" t="s">
        <v>508</v>
      </c>
      <c r="G220" s="71" t="s">
        <v>466</v>
      </c>
      <c r="H220" s="71" t="s">
        <v>388</v>
      </c>
      <c r="I220" s="71" t="s">
        <v>374</v>
      </c>
    </row>
    <row r="221" spans="1:9" ht="43.5" x14ac:dyDescent="0.35">
      <c r="A221" s="195">
        <v>1</v>
      </c>
      <c r="B221" s="195">
        <v>220</v>
      </c>
      <c r="C221" s="195" t="s">
        <v>602</v>
      </c>
      <c r="D221" s="195">
        <v>0</v>
      </c>
      <c r="E221" s="195" t="s">
        <v>373</v>
      </c>
      <c r="F221" s="71" t="s">
        <v>508</v>
      </c>
      <c r="G221" s="71" t="s">
        <v>466</v>
      </c>
      <c r="H221" s="71" t="s">
        <v>388</v>
      </c>
      <c r="I221" s="71" t="s">
        <v>376</v>
      </c>
    </row>
    <row r="222" spans="1:9" ht="43.5" x14ac:dyDescent="0.35">
      <c r="A222" s="195">
        <v>1</v>
      </c>
      <c r="B222" s="195">
        <v>221</v>
      </c>
      <c r="C222" s="195" t="s">
        <v>603</v>
      </c>
      <c r="D222" s="195">
        <v>0</v>
      </c>
      <c r="E222" s="195" t="s">
        <v>373</v>
      </c>
      <c r="F222" s="71" t="s">
        <v>508</v>
      </c>
      <c r="G222" s="71" t="s">
        <v>466</v>
      </c>
      <c r="H222" s="71" t="s">
        <v>388</v>
      </c>
      <c r="I222" s="71" t="s">
        <v>378</v>
      </c>
    </row>
    <row r="223" spans="1:9" ht="43.5" x14ac:dyDescent="0.35">
      <c r="A223" s="195">
        <v>1</v>
      </c>
      <c r="B223" s="195">
        <v>222</v>
      </c>
      <c r="C223" s="195" t="s">
        <v>604</v>
      </c>
      <c r="D223" s="195">
        <v>0</v>
      </c>
      <c r="E223" s="195" t="s">
        <v>373</v>
      </c>
      <c r="F223" s="71" t="s">
        <v>508</v>
      </c>
      <c r="G223" s="71" t="s">
        <v>466</v>
      </c>
      <c r="H223" s="71" t="s">
        <v>388</v>
      </c>
      <c r="I223" s="71" t="s">
        <v>380</v>
      </c>
    </row>
    <row r="224" spans="1:9" ht="43.5" x14ac:dyDescent="0.35">
      <c r="A224" s="195">
        <v>1</v>
      </c>
      <c r="B224" s="195">
        <v>223</v>
      </c>
      <c r="C224" s="195" t="s">
        <v>605</v>
      </c>
      <c r="D224" s="195">
        <v>0</v>
      </c>
      <c r="E224" s="195" t="s">
        <v>373</v>
      </c>
      <c r="F224" s="71" t="s">
        <v>508</v>
      </c>
      <c r="G224" s="71" t="s">
        <v>466</v>
      </c>
      <c r="H224" s="71" t="s">
        <v>388</v>
      </c>
      <c r="I224" s="71" t="s">
        <v>382</v>
      </c>
    </row>
    <row r="225" spans="1:9" ht="43.5" x14ac:dyDescent="0.35">
      <c r="A225" s="195">
        <v>1</v>
      </c>
      <c r="B225" s="195">
        <v>224</v>
      </c>
      <c r="C225" s="195" t="s">
        <v>606</v>
      </c>
      <c r="D225" s="195">
        <v>0</v>
      </c>
      <c r="E225" s="195" t="s">
        <v>373</v>
      </c>
      <c r="F225" s="71" t="s">
        <v>508</v>
      </c>
      <c r="G225" s="71" t="s">
        <v>466</v>
      </c>
      <c r="H225" s="71" t="s">
        <v>388</v>
      </c>
      <c r="I225" s="71" t="s">
        <v>384</v>
      </c>
    </row>
    <row r="226" spans="1:9" ht="43.5" x14ac:dyDescent="0.35">
      <c r="A226" s="195">
        <v>1</v>
      </c>
      <c r="B226" s="195">
        <v>225</v>
      </c>
      <c r="C226" s="195" t="s">
        <v>607</v>
      </c>
      <c r="D226" s="195">
        <v>0</v>
      </c>
      <c r="E226" s="195" t="s">
        <v>373</v>
      </c>
      <c r="F226" s="71" t="s">
        <v>508</v>
      </c>
      <c r="G226" s="71" t="s">
        <v>466</v>
      </c>
      <c r="H226" s="71" t="s">
        <v>388</v>
      </c>
      <c r="I226" s="71" t="s">
        <v>386</v>
      </c>
    </row>
    <row r="227" spans="1:9" ht="43.5" x14ac:dyDescent="0.35">
      <c r="A227" s="195">
        <v>1</v>
      </c>
      <c r="B227" s="195">
        <v>226</v>
      </c>
      <c r="C227" s="195" t="s">
        <v>608</v>
      </c>
      <c r="D227" s="195">
        <v>0</v>
      </c>
      <c r="E227" s="195" t="s">
        <v>366</v>
      </c>
      <c r="F227" s="71" t="s">
        <v>508</v>
      </c>
      <c r="G227" s="71" t="s">
        <v>466</v>
      </c>
      <c r="H227" s="71" t="s">
        <v>397</v>
      </c>
      <c r="I227" s="71" t="s">
        <v>364</v>
      </c>
    </row>
    <row r="228" spans="1:9" ht="43.5" x14ac:dyDescent="0.35">
      <c r="A228" s="195">
        <v>1</v>
      </c>
      <c r="B228" s="195">
        <v>227</v>
      </c>
      <c r="C228" s="195" t="s">
        <v>609</v>
      </c>
      <c r="D228" s="195">
        <v>0</v>
      </c>
      <c r="E228" s="195" t="s">
        <v>373</v>
      </c>
      <c r="F228" s="71" t="s">
        <v>508</v>
      </c>
      <c r="G228" s="71" t="s">
        <v>466</v>
      </c>
      <c r="H228" s="71" t="s">
        <v>397</v>
      </c>
      <c r="I228" s="71" t="s">
        <v>374</v>
      </c>
    </row>
    <row r="229" spans="1:9" ht="43.5" x14ac:dyDescent="0.35">
      <c r="A229" s="195">
        <v>1</v>
      </c>
      <c r="B229" s="195">
        <v>228</v>
      </c>
      <c r="C229" s="195" t="s">
        <v>610</v>
      </c>
      <c r="D229" s="195">
        <v>0</v>
      </c>
      <c r="E229" s="195" t="s">
        <v>373</v>
      </c>
      <c r="F229" s="71" t="s">
        <v>508</v>
      </c>
      <c r="G229" s="71" t="s">
        <v>466</v>
      </c>
      <c r="H229" s="71" t="s">
        <v>397</v>
      </c>
      <c r="I229" s="71" t="s">
        <v>376</v>
      </c>
    </row>
    <row r="230" spans="1:9" ht="43.5" x14ac:dyDescent="0.35">
      <c r="A230" s="195">
        <v>1</v>
      </c>
      <c r="B230" s="195">
        <v>229</v>
      </c>
      <c r="C230" s="195" t="s">
        <v>611</v>
      </c>
      <c r="D230" s="195">
        <v>0</v>
      </c>
      <c r="E230" s="195" t="s">
        <v>373</v>
      </c>
      <c r="F230" s="71" t="s">
        <v>508</v>
      </c>
      <c r="G230" s="71" t="s">
        <v>466</v>
      </c>
      <c r="H230" s="71" t="s">
        <v>397</v>
      </c>
      <c r="I230" s="71" t="s">
        <v>378</v>
      </c>
    </row>
    <row r="231" spans="1:9" ht="43.5" x14ac:dyDescent="0.35">
      <c r="A231" s="195">
        <v>1</v>
      </c>
      <c r="B231" s="195">
        <v>230</v>
      </c>
      <c r="C231" s="195" t="s">
        <v>612</v>
      </c>
      <c r="D231" s="195">
        <v>0</v>
      </c>
      <c r="E231" s="195" t="s">
        <v>373</v>
      </c>
      <c r="F231" s="71" t="s">
        <v>508</v>
      </c>
      <c r="G231" s="71" t="s">
        <v>466</v>
      </c>
      <c r="H231" s="71" t="s">
        <v>397</v>
      </c>
      <c r="I231" s="71" t="s">
        <v>380</v>
      </c>
    </row>
    <row r="232" spans="1:9" ht="43.5" x14ac:dyDescent="0.35">
      <c r="A232" s="195">
        <v>1</v>
      </c>
      <c r="B232" s="195">
        <v>231</v>
      </c>
      <c r="C232" s="195" t="s">
        <v>613</v>
      </c>
      <c r="D232" s="195">
        <v>0</v>
      </c>
      <c r="E232" s="195" t="s">
        <v>373</v>
      </c>
      <c r="F232" s="71" t="s">
        <v>508</v>
      </c>
      <c r="G232" s="71" t="s">
        <v>466</v>
      </c>
      <c r="H232" s="71" t="s">
        <v>397</v>
      </c>
      <c r="I232" s="71" t="s">
        <v>382</v>
      </c>
    </row>
    <row r="233" spans="1:9" ht="43.5" x14ac:dyDescent="0.35">
      <c r="A233" s="195">
        <v>1</v>
      </c>
      <c r="B233" s="195">
        <v>232</v>
      </c>
      <c r="C233" s="195" t="s">
        <v>614</v>
      </c>
      <c r="D233" s="195">
        <v>0</v>
      </c>
      <c r="E233" s="195" t="s">
        <v>373</v>
      </c>
      <c r="F233" s="71" t="s">
        <v>508</v>
      </c>
      <c r="G233" s="71" t="s">
        <v>466</v>
      </c>
      <c r="H233" s="71" t="s">
        <v>397</v>
      </c>
      <c r="I233" s="71" t="s">
        <v>384</v>
      </c>
    </row>
    <row r="234" spans="1:9" ht="43.5" x14ac:dyDescent="0.35">
      <c r="A234" s="195">
        <v>1</v>
      </c>
      <c r="B234" s="195">
        <v>233</v>
      </c>
      <c r="C234" s="195" t="s">
        <v>615</v>
      </c>
      <c r="D234" s="195">
        <v>0</v>
      </c>
      <c r="E234" s="195" t="s">
        <v>373</v>
      </c>
      <c r="F234" s="71" t="s">
        <v>508</v>
      </c>
      <c r="G234" s="71" t="s">
        <v>466</v>
      </c>
      <c r="H234" s="71" t="s">
        <v>397</v>
      </c>
      <c r="I234" s="71" t="s">
        <v>386</v>
      </c>
    </row>
    <row r="235" spans="1:9" ht="43.5" x14ac:dyDescent="0.35">
      <c r="A235" s="195">
        <v>1</v>
      </c>
      <c r="B235" s="195">
        <v>234</v>
      </c>
      <c r="C235" s="195" t="s">
        <v>616</v>
      </c>
      <c r="D235" s="195">
        <v>0</v>
      </c>
      <c r="E235" s="195" t="s">
        <v>366</v>
      </c>
      <c r="F235" s="71" t="s">
        <v>508</v>
      </c>
      <c r="G235" s="71" t="s">
        <v>466</v>
      </c>
      <c r="H235" s="71" t="s">
        <v>406</v>
      </c>
      <c r="I235" s="71" t="s">
        <v>364</v>
      </c>
    </row>
    <row r="236" spans="1:9" ht="43.5" x14ac:dyDescent="0.35">
      <c r="A236" s="195">
        <v>1</v>
      </c>
      <c r="B236" s="195">
        <v>235</v>
      </c>
      <c r="C236" s="195" t="s">
        <v>617</v>
      </c>
      <c r="D236" s="195">
        <v>0</v>
      </c>
      <c r="E236" s="195" t="s">
        <v>373</v>
      </c>
      <c r="F236" s="71" t="s">
        <v>508</v>
      </c>
      <c r="G236" s="71" t="s">
        <v>466</v>
      </c>
      <c r="H236" s="71" t="s">
        <v>406</v>
      </c>
      <c r="I236" s="71" t="s">
        <v>374</v>
      </c>
    </row>
    <row r="237" spans="1:9" ht="43.5" x14ac:dyDescent="0.35">
      <c r="A237" s="195">
        <v>1</v>
      </c>
      <c r="B237" s="195">
        <v>236</v>
      </c>
      <c r="C237" s="195" t="s">
        <v>618</v>
      </c>
      <c r="D237" s="195">
        <v>0</v>
      </c>
      <c r="E237" s="195" t="s">
        <v>373</v>
      </c>
      <c r="F237" s="71" t="s">
        <v>508</v>
      </c>
      <c r="G237" s="71" t="s">
        <v>466</v>
      </c>
      <c r="H237" s="71" t="s">
        <v>406</v>
      </c>
      <c r="I237" s="71" t="s">
        <v>376</v>
      </c>
    </row>
    <row r="238" spans="1:9" ht="43.5" x14ac:dyDescent="0.35">
      <c r="A238" s="195">
        <v>1</v>
      </c>
      <c r="B238" s="195">
        <v>237</v>
      </c>
      <c r="C238" s="195" t="s">
        <v>619</v>
      </c>
      <c r="D238" s="195">
        <v>0</v>
      </c>
      <c r="E238" s="195" t="s">
        <v>373</v>
      </c>
      <c r="F238" s="71" t="s">
        <v>508</v>
      </c>
      <c r="G238" s="71" t="s">
        <v>466</v>
      </c>
      <c r="H238" s="71" t="s">
        <v>406</v>
      </c>
      <c r="I238" s="71" t="s">
        <v>378</v>
      </c>
    </row>
    <row r="239" spans="1:9" ht="43.5" x14ac:dyDescent="0.35">
      <c r="A239" s="195">
        <v>1</v>
      </c>
      <c r="B239" s="195">
        <v>238</v>
      </c>
      <c r="C239" s="195" t="s">
        <v>620</v>
      </c>
      <c r="D239" s="195">
        <v>0</v>
      </c>
      <c r="E239" s="195" t="s">
        <v>373</v>
      </c>
      <c r="F239" s="71" t="s">
        <v>508</v>
      </c>
      <c r="G239" s="71" t="s">
        <v>466</v>
      </c>
      <c r="H239" s="71" t="s">
        <v>406</v>
      </c>
      <c r="I239" s="71" t="s">
        <v>380</v>
      </c>
    </row>
    <row r="240" spans="1:9" ht="43.5" x14ac:dyDescent="0.35">
      <c r="A240" s="195">
        <v>1</v>
      </c>
      <c r="B240" s="195">
        <v>239</v>
      </c>
      <c r="C240" s="195" t="s">
        <v>621</v>
      </c>
      <c r="D240" s="195">
        <v>0</v>
      </c>
      <c r="E240" s="195" t="s">
        <v>373</v>
      </c>
      <c r="F240" s="71" t="s">
        <v>508</v>
      </c>
      <c r="G240" s="71" t="s">
        <v>466</v>
      </c>
      <c r="H240" s="71" t="s">
        <v>406</v>
      </c>
      <c r="I240" s="71" t="s">
        <v>382</v>
      </c>
    </row>
    <row r="241" spans="1:9" ht="43.5" x14ac:dyDescent="0.35">
      <c r="A241" s="195">
        <v>1</v>
      </c>
      <c r="B241" s="195">
        <v>240</v>
      </c>
      <c r="C241" s="195" t="s">
        <v>622</v>
      </c>
      <c r="D241" s="195">
        <v>0</v>
      </c>
      <c r="E241" s="195" t="s">
        <v>373</v>
      </c>
      <c r="F241" s="71" t="s">
        <v>508</v>
      </c>
      <c r="G241" s="71" t="s">
        <v>466</v>
      </c>
      <c r="H241" s="71" t="s">
        <v>406</v>
      </c>
      <c r="I241" s="71" t="s">
        <v>384</v>
      </c>
    </row>
    <row r="242" spans="1:9" ht="43.5" x14ac:dyDescent="0.35">
      <c r="A242" s="195">
        <v>1</v>
      </c>
      <c r="B242" s="195">
        <v>241</v>
      </c>
      <c r="C242" s="195" t="s">
        <v>623</v>
      </c>
      <c r="D242" s="195">
        <v>0</v>
      </c>
      <c r="E242" s="195" t="s">
        <v>373</v>
      </c>
      <c r="F242" s="71" t="s">
        <v>508</v>
      </c>
      <c r="G242" s="71" t="s">
        <v>466</v>
      </c>
      <c r="H242" s="71" t="s">
        <v>406</v>
      </c>
      <c r="I242" s="71" t="s">
        <v>386</v>
      </c>
    </row>
    <row r="243" spans="1:9" ht="43.5" x14ac:dyDescent="0.35">
      <c r="A243" s="195">
        <v>1</v>
      </c>
      <c r="B243" s="195">
        <v>242</v>
      </c>
      <c r="C243" s="195" t="s">
        <v>624</v>
      </c>
      <c r="D243" s="195">
        <v>0</v>
      </c>
      <c r="E243" s="195" t="s">
        <v>366</v>
      </c>
      <c r="F243" s="71" t="s">
        <v>508</v>
      </c>
      <c r="G243" s="71" t="s">
        <v>466</v>
      </c>
      <c r="H243" s="71" t="s">
        <v>415</v>
      </c>
      <c r="I243" s="71" t="s">
        <v>364</v>
      </c>
    </row>
    <row r="244" spans="1:9" ht="43.5" x14ac:dyDescent="0.35">
      <c r="A244" s="195">
        <v>1</v>
      </c>
      <c r="B244" s="195">
        <v>243</v>
      </c>
      <c r="C244" s="195" t="s">
        <v>625</v>
      </c>
      <c r="D244" s="195">
        <v>0</v>
      </c>
      <c r="E244" s="195" t="s">
        <v>373</v>
      </c>
      <c r="F244" s="71" t="s">
        <v>508</v>
      </c>
      <c r="G244" s="71" t="s">
        <v>466</v>
      </c>
      <c r="H244" s="71" t="s">
        <v>415</v>
      </c>
      <c r="I244" s="71" t="s">
        <v>374</v>
      </c>
    </row>
    <row r="245" spans="1:9" ht="43.5" x14ac:dyDescent="0.35">
      <c r="A245" s="195">
        <v>1</v>
      </c>
      <c r="B245" s="195">
        <v>244</v>
      </c>
      <c r="C245" s="195" t="s">
        <v>626</v>
      </c>
      <c r="D245" s="195">
        <v>0</v>
      </c>
      <c r="E245" s="195" t="s">
        <v>373</v>
      </c>
      <c r="F245" s="71" t="s">
        <v>508</v>
      </c>
      <c r="G245" s="71" t="s">
        <v>466</v>
      </c>
      <c r="H245" s="71" t="s">
        <v>415</v>
      </c>
      <c r="I245" s="71" t="s">
        <v>376</v>
      </c>
    </row>
    <row r="246" spans="1:9" ht="43.5" x14ac:dyDescent="0.35">
      <c r="A246" s="195">
        <v>1</v>
      </c>
      <c r="B246" s="195">
        <v>245</v>
      </c>
      <c r="C246" s="195" t="s">
        <v>627</v>
      </c>
      <c r="D246" s="195">
        <v>0</v>
      </c>
      <c r="E246" s="195" t="s">
        <v>373</v>
      </c>
      <c r="F246" s="71" t="s">
        <v>508</v>
      </c>
      <c r="G246" s="71" t="s">
        <v>466</v>
      </c>
      <c r="H246" s="71" t="s">
        <v>415</v>
      </c>
      <c r="I246" s="71" t="s">
        <v>378</v>
      </c>
    </row>
    <row r="247" spans="1:9" ht="43.5" x14ac:dyDescent="0.35">
      <c r="A247" s="195">
        <v>1</v>
      </c>
      <c r="B247" s="195">
        <v>246</v>
      </c>
      <c r="C247" s="195" t="s">
        <v>628</v>
      </c>
      <c r="D247" s="195">
        <v>0</v>
      </c>
      <c r="E247" s="195" t="s">
        <v>373</v>
      </c>
      <c r="F247" s="71" t="s">
        <v>508</v>
      </c>
      <c r="G247" s="71" t="s">
        <v>466</v>
      </c>
      <c r="H247" s="71" t="s">
        <v>415</v>
      </c>
      <c r="I247" s="71" t="s">
        <v>380</v>
      </c>
    </row>
    <row r="248" spans="1:9" ht="43.5" x14ac:dyDescent="0.35">
      <c r="A248" s="195">
        <v>1</v>
      </c>
      <c r="B248" s="195">
        <v>247</v>
      </c>
      <c r="C248" s="195" t="s">
        <v>629</v>
      </c>
      <c r="D248" s="195">
        <v>0</v>
      </c>
      <c r="E248" s="195" t="s">
        <v>373</v>
      </c>
      <c r="F248" s="71" t="s">
        <v>508</v>
      </c>
      <c r="G248" s="71" t="s">
        <v>466</v>
      </c>
      <c r="H248" s="71" t="s">
        <v>415</v>
      </c>
      <c r="I248" s="71" t="s">
        <v>382</v>
      </c>
    </row>
    <row r="249" spans="1:9" ht="43.5" x14ac:dyDescent="0.35">
      <c r="A249" s="195">
        <v>1</v>
      </c>
      <c r="B249" s="195">
        <v>248</v>
      </c>
      <c r="C249" s="195" t="s">
        <v>630</v>
      </c>
      <c r="D249" s="195">
        <v>0</v>
      </c>
      <c r="E249" s="195" t="s">
        <v>373</v>
      </c>
      <c r="F249" s="71" t="s">
        <v>508</v>
      </c>
      <c r="G249" s="71" t="s">
        <v>466</v>
      </c>
      <c r="H249" s="71" t="s">
        <v>415</v>
      </c>
      <c r="I249" s="71" t="s">
        <v>384</v>
      </c>
    </row>
    <row r="250" spans="1:9" ht="43.5" x14ac:dyDescent="0.35">
      <c r="A250" s="195">
        <v>1</v>
      </c>
      <c r="B250" s="195">
        <v>249</v>
      </c>
      <c r="C250" s="195" t="s">
        <v>631</v>
      </c>
      <c r="D250" s="195">
        <v>0</v>
      </c>
      <c r="E250" s="195" t="s">
        <v>373</v>
      </c>
      <c r="F250" s="71" t="s">
        <v>508</v>
      </c>
      <c r="G250" s="71" t="s">
        <v>466</v>
      </c>
      <c r="H250" s="71" t="s">
        <v>415</v>
      </c>
      <c r="I250" s="71" t="s">
        <v>386</v>
      </c>
    </row>
    <row r="251" spans="1:9" ht="29" x14ac:dyDescent="0.35">
      <c r="A251" s="195">
        <v>2</v>
      </c>
      <c r="B251" s="195">
        <v>1</v>
      </c>
      <c r="C251" s="195" t="s">
        <v>632</v>
      </c>
      <c r="D251" s="64">
        <v>1042580</v>
      </c>
      <c r="E251" s="195" t="s">
        <v>26</v>
      </c>
      <c r="F251" s="71" t="s">
        <v>361</v>
      </c>
      <c r="G251" s="71" t="s">
        <v>633</v>
      </c>
      <c r="H251" s="71" t="s">
        <v>363</v>
      </c>
      <c r="I251" s="71" t="s">
        <v>364</v>
      </c>
    </row>
    <row r="252" spans="1:9" x14ac:dyDescent="0.35">
      <c r="A252" s="195">
        <v>2</v>
      </c>
      <c r="B252" s="195">
        <v>2</v>
      </c>
      <c r="C252" s="195" t="s">
        <v>634</v>
      </c>
      <c r="D252" s="64">
        <v>459890</v>
      </c>
      <c r="E252" s="195" t="s">
        <v>366</v>
      </c>
      <c r="F252" s="71" t="s">
        <v>367</v>
      </c>
      <c r="G252" s="71" t="s">
        <v>633</v>
      </c>
      <c r="H252" s="71" t="s">
        <v>363</v>
      </c>
      <c r="I252" s="71" t="s">
        <v>364</v>
      </c>
    </row>
    <row r="253" spans="1:9" ht="87" x14ac:dyDescent="0.35">
      <c r="A253" s="195">
        <v>2</v>
      </c>
      <c r="B253" s="195">
        <v>3</v>
      </c>
      <c r="C253" s="195" t="s">
        <v>635</v>
      </c>
      <c r="D253" s="64">
        <v>82655</v>
      </c>
      <c r="E253" s="195" t="s">
        <v>366</v>
      </c>
      <c r="F253" s="71" t="s">
        <v>367</v>
      </c>
      <c r="G253" s="71" t="s">
        <v>636</v>
      </c>
      <c r="H253" s="71" t="s">
        <v>363</v>
      </c>
      <c r="I253" s="71" t="s">
        <v>364</v>
      </c>
    </row>
    <row r="254" spans="1:9" ht="87" x14ac:dyDescent="0.35">
      <c r="A254" s="195">
        <v>2</v>
      </c>
      <c r="B254" s="195">
        <v>4</v>
      </c>
      <c r="C254" s="195" t="s">
        <v>637</v>
      </c>
      <c r="D254" s="64">
        <v>32835</v>
      </c>
      <c r="E254" s="195" t="s">
        <v>366</v>
      </c>
      <c r="F254" s="71" t="s">
        <v>367</v>
      </c>
      <c r="G254" s="71" t="s">
        <v>636</v>
      </c>
      <c r="H254" s="71" t="s">
        <v>371</v>
      </c>
      <c r="I254" s="71" t="s">
        <v>364</v>
      </c>
    </row>
    <row r="255" spans="1:9" ht="87" x14ac:dyDescent="0.35">
      <c r="A255" s="195">
        <v>2</v>
      </c>
      <c r="B255" s="195">
        <v>5</v>
      </c>
      <c r="C255" s="195" t="s">
        <v>638</v>
      </c>
      <c r="D255" s="64">
        <v>11030</v>
      </c>
      <c r="E255" s="195" t="s">
        <v>373</v>
      </c>
      <c r="F255" s="71" t="s">
        <v>367</v>
      </c>
      <c r="G255" s="71" t="s">
        <v>636</v>
      </c>
      <c r="H255" s="71" t="s">
        <v>371</v>
      </c>
      <c r="I255" s="71" t="s">
        <v>374</v>
      </c>
    </row>
    <row r="256" spans="1:9" ht="87" x14ac:dyDescent="0.35">
      <c r="A256" s="195">
        <v>2</v>
      </c>
      <c r="B256" s="195">
        <v>6</v>
      </c>
      <c r="C256" s="195" t="s">
        <v>639</v>
      </c>
      <c r="D256" s="64">
        <v>12400</v>
      </c>
      <c r="E256" s="195" t="s">
        <v>373</v>
      </c>
      <c r="F256" s="71" t="s">
        <v>367</v>
      </c>
      <c r="G256" s="71" t="s">
        <v>636</v>
      </c>
      <c r="H256" s="71" t="s">
        <v>371</v>
      </c>
      <c r="I256" s="71" t="s">
        <v>376</v>
      </c>
    </row>
    <row r="257" spans="1:9" ht="87" x14ac:dyDescent="0.35">
      <c r="A257" s="195">
        <v>2</v>
      </c>
      <c r="B257" s="195">
        <v>7</v>
      </c>
      <c r="C257" s="195" t="s">
        <v>640</v>
      </c>
      <c r="D257" s="64">
        <v>2215</v>
      </c>
      <c r="E257" s="195" t="s">
        <v>373</v>
      </c>
      <c r="F257" s="71" t="s">
        <v>367</v>
      </c>
      <c r="G257" s="71" t="s">
        <v>636</v>
      </c>
      <c r="H257" s="71" t="s">
        <v>371</v>
      </c>
      <c r="I257" s="71" t="s">
        <v>378</v>
      </c>
    </row>
    <row r="258" spans="1:9" ht="87" x14ac:dyDescent="0.35">
      <c r="A258" s="195">
        <v>2</v>
      </c>
      <c r="B258" s="195">
        <v>8</v>
      </c>
      <c r="C258" s="195" t="s">
        <v>641</v>
      </c>
      <c r="D258" s="195">
        <v>70</v>
      </c>
      <c r="E258" s="195" t="s">
        <v>373</v>
      </c>
      <c r="F258" s="71" t="s">
        <v>367</v>
      </c>
      <c r="G258" s="71" t="s">
        <v>636</v>
      </c>
      <c r="H258" s="71" t="s">
        <v>371</v>
      </c>
      <c r="I258" s="71" t="s">
        <v>380</v>
      </c>
    </row>
    <row r="259" spans="1:9" ht="87" x14ac:dyDescent="0.35">
      <c r="A259" s="195">
        <v>2</v>
      </c>
      <c r="B259" s="195">
        <v>9</v>
      </c>
      <c r="C259" s="195" t="s">
        <v>642</v>
      </c>
      <c r="D259" s="195">
        <v>0</v>
      </c>
      <c r="E259" s="195" t="s">
        <v>373</v>
      </c>
      <c r="F259" s="71" t="s">
        <v>367</v>
      </c>
      <c r="G259" s="71" t="s">
        <v>636</v>
      </c>
      <c r="H259" s="71" t="s">
        <v>371</v>
      </c>
      <c r="I259" s="71" t="s">
        <v>382</v>
      </c>
    </row>
    <row r="260" spans="1:9" ht="87" x14ac:dyDescent="0.35">
      <c r="A260" s="195">
        <v>2</v>
      </c>
      <c r="B260" s="195">
        <v>10</v>
      </c>
      <c r="C260" s="195" t="s">
        <v>643</v>
      </c>
      <c r="D260" s="64">
        <v>6825</v>
      </c>
      <c r="E260" s="195" t="s">
        <v>373</v>
      </c>
      <c r="F260" s="71" t="s">
        <v>367</v>
      </c>
      <c r="G260" s="71" t="s">
        <v>636</v>
      </c>
      <c r="H260" s="71" t="s">
        <v>371</v>
      </c>
      <c r="I260" s="71" t="s">
        <v>384</v>
      </c>
    </row>
    <row r="261" spans="1:9" ht="87" x14ac:dyDescent="0.35">
      <c r="A261" s="195">
        <v>2</v>
      </c>
      <c r="B261" s="195">
        <v>11</v>
      </c>
      <c r="C261" s="195" t="s">
        <v>644</v>
      </c>
      <c r="D261" s="195">
        <v>290</v>
      </c>
      <c r="E261" s="195" t="s">
        <v>373</v>
      </c>
      <c r="F261" s="71" t="s">
        <v>367</v>
      </c>
      <c r="G261" s="71" t="s">
        <v>636</v>
      </c>
      <c r="H261" s="71" t="s">
        <v>371</v>
      </c>
      <c r="I261" s="71" t="s">
        <v>386</v>
      </c>
    </row>
    <row r="262" spans="1:9" ht="87" x14ac:dyDescent="0.35">
      <c r="A262" s="195">
        <v>2</v>
      </c>
      <c r="B262" s="195">
        <v>12</v>
      </c>
      <c r="C262" s="195" t="s">
        <v>645</v>
      </c>
      <c r="D262" s="64">
        <v>21560</v>
      </c>
      <c r="E262" s="195" t="s">
        <v>366</v>
      </c>
      <c r="F262" s="71" t="s">
        <v>367</v>
      </c>
      <c r="G262" s="71" t="s">
        <v>636</v>
      </c>
      <c r="H262" s="71" t="s">
        <v>388</v>
      </c>
      <c r="I262" s="71" t="s">
        <v>364</v>
      </c>
    </row>
    <row r="263" spans="1:9" ht="87" x14ac:dyDescent="0.35">
      <c r="A263" s="195">
        <v>2</v>
      </c>
      <c r="B263" s="195">
        <v>13</v>
      </c>
      <c r="C263" s="195" t="s">
        <v>646</v>
      </c>
      <c r="D263" s="64">
        <v>6450</v>
      </c>
      <c r="E263" s="195" t="s">
        <v>373</v>
      </c>
      <c r="F263" s="71" t="s">
        <v>367</v>
      </c>
      <c r="G263" s="71" t="s">
        <v>636</v>
      </c>
      <c r="H263" s="71" t="s">
        <v>388</v>
      </c>
      <c r="I263" s="71" t="s">
        <v>374</v>
      </c>
    </row>
    <row r="264" spans="1:9" ht="87" x14ac:dyDescent="0.35">
      <c r="A264" s="195">
        <v>2</v>
      </c>
      <c r="B264" s="195">
        <v>14</v>
      </c>
      <c r="C264" s="195" t="s">
        <v>647</v>
      </c>
      <c r="D264" s="64">
        <v>5815</v>
      </c>
      <c r="E264" s="195" t="s">
        <v>373</v>
      </c>
      <c r="F264" s="71" t="s">
        <v>367</v>
      </c>
      <c r="G264" s="71" t="s">
        <v>636</v>
      </c>
      <c r="H264" s="71" t="s">
        <v>388</v>
      </c>
      <c r="I264" s="71" t="s">
        <v>376</v>
      </c>
    </row>
    <row r="265" spans="1:9" ht="87" x14ac:dyDescent="0.35">
      <c r="A265" s="195">
        <v>2</v>
      </c>
      <c r="B265" s="195">
        <v>15</v>
      </c>
      <c r="C265" s="195" t="s">
        <v>648</v>
      </c>
      <c r="D265" s="64">
        <v>1325</v>
      </c>
      <c r="E265" s="195" t="s">
        <v>373</v>
      </c>
      <c r="F265" s="71" t="s">
        <v>367</v>
      </c>
      <c r="G265" s="71" t="s">
        <v>636</v>
      </c>
      <c r="H265" s="71" t="s">
        <v>388</v>
      </c>
      <c r="I265" s="71" t="s">
        <v>378</v>
      </c>
    </row>
    <row r="266" spans="1:9" ht="87" x14ac:dyDescent="0.35">
      <c r="A266" s="195">
        <v>2</v>
      </c>
      <c r="B266" s="195">
        <v>16</v>
      </c>
      <c r="C266" s="195" t="s">
        <v>649</v>
      </c>
      <c r="D266" s="195">
        <v>10</v>
      </c>
      <c r="E266" s="195" t="s">
        <v>373</v>
      </c>
      <c r="F266" s="71" t="s">
        <v>367</v>
      </c>
      <c r="G266" s="71" t="s">
        <v>636</v>
      </c>
      <c r="H266" s="71" t="s">
        <v>388</v>
      </c>
      <c r="I266" s="71" t="s">
        <v>380</v>
      </c>
    </row>
    <row r="267" spans="1:9" ht="87" x14ac:dyDescent="0.35">
      <c r="A267" s="195">
        <v>2</v>
      </c>
      <c r="B267" s="195">
        <v>17</v>
      </c>
      <c r="C267" s="195" t="s">
        <v>650</v>
      </c>
      <c r="D267" s="195">
        <v>10</v>
      </c>
      <c r="E267" s="195" t="s">
        <v>373</v>
      </c>
      <c r="F267" s="71" t="s">
        <v>367</v>
      </c>
      <c r="G267" s="71" t="s">
        <v>636</v>
      </c>
      <c r="H267" s="71" t="s">
        <v>388</v>
      </c>
      <c r="I267" s="71" t="s">
        <v>382</v>
      </c>
    </row>
    <row r="268" spans="1:9" ht="87" x14ac:dyDescent="0.35">
      <c r="A268" s="195">
        <v>2</v>
      </c>
      <c r="B268" s="195">
        <v>18</v>
      </c>
      <c r="C268" s="195" t="s">
        <v>651</v>
      </c>
      <c r="D268" s="64">
        <v>7810</v>
      </c>
      <c r="E268" s="195" t="s">
        <v>373</v>
      </c>
      <c r="F268" s="71" t="s">
        <v>367</v>
      </c>
      <c r="G268" s="71" t="s">
        <v>636</v>
      </c>
      <c r="H268" s="71" t="s">
        <v>388</v>
      </c>
      <c r="I268" s="71" t="s">
        <v>384</v>
      </c>
    </row>
    <row r="269" spans="1:9" ht="87" x14ac:dyDescent="0.35">
      <c r="A269" s="195">
        <v>2</v>
      </c>
      <c r="B269" s="195">
        <v>19</v>
      </c>
      <c r="C269" s="195" t="s">
        <v>652</v>
      </c>
      <c r="D269" s="195">
        <v>135</v>
      </c>
      <c r="E269" s="195" t="s">
        <v>373</v>
      </c>
      <c r="F269" s="71" t="s">
        <v>367</v>
      </c>
      <c r="G269" s="71" t="s">
        <v>636</v>
      </c>
      <c r="H269" s="71" t="s">
        <v>388</v>
      </c>
      <c r="I269" s="71" t="s">
        <v>386</v>
      </c>
    </row>
    <row r="270" spans="1:9" ht="87" x14ac:dyDescent="0.35">
      <c r="A270" s="195">
        <v>2</v>
      </c>
      <c r="B270" s="195">
        <v>20</v>
      </c>
      <c r="C270" s="195" t="s">
        <v>653</v>
      </c>
      <c r="D270" s="64">
        <v>14980</v>
      </c>
      <c r="E270" s="195" t="s">
        <v>366</v>
      </c>
      <c r="F270" s="71" t="s">
        <v>367</v>
      </c>
      <c r="G270" s="71" t="s">
        <v>636</v>
      </c>
      <c r="H270" s="71" t="s">
        <v>397</v>
      </c>
      <c r="I270" s="71" t="s">
        <v>364</v>
      </c>
    </row>
    <row r="271" spans="1:9" ht="87" x14ac:dyDescent="0.35">
      <c r="A271" s="195">
        <v>2</v>
      </c>
      <c r="B271" s="195">
        <v>21</v>
      </c>
      <c r="C271" s="195" t="s">
        <v>654</v>
      </c>
      <c r="D271" s="64">
        <v>5550</v>
      </c>
      <c r="E271" s="195" t="s">
        <v>373</v>
      </c>
      <c r="F271" s="71" t="s">
        <v>367</v>
      </c>
      <c r="G271" s="71" t="s">
        <v>636</v>
      </c>
      <c r="H271" s="71" t="s">
        <v>397</v>
      </c>
      <c r="I271" s="71" t="s">
        <v>374</v>
      </c>
    </row>
    <row r="272" spans="1:9" ht="87" x14ac:dyDescent="0.35">
      <c r="A272" s="195">
        <v>2</v>
      </c>
      <c r="B272" s="195">
        <v>22</v>
      </c>
      <c r="C272" s="195" t="s">
        <v>655</v>
      </c>
      <c r="D272" s="64">
        <v>3000</v>
      </c>
      <c r="E272" s="195" t="s">
        <v>373</v>
      </c>
      <c r="F272" s="71" t="s">
        <v>367</v>
      </c>
      <c r="G272" s="71" t="s">
        <v>636</v>
      </c>
      <c r="H272" s="71" t="s">
        <v>397</v>
      </c>
      <c r="I272" s="71" t="s">
        <v>376</v>
      </c>
    </row>
    <row r="273" spans="1:9" ht="87" x14ac:dyDescent="0.35">
      <c r="A273" s="195">
        <v>2</v>
      </c>
      <c r="B273" s="195">
        <v>23</v>
      </c>
      <c r="C273" s="195" t="s">
        <v>656</v>
      </c>
      <c r="D273" s="64">
        <v>835</v>
      </c>
      <c r="E273" s="195" t="s">
        <v>373</v>
      </c>
      <c r="F273" s="71" t="s">
        <v>367</v>
      </c>
      <c r="G273" s="71" t="s">
        <v>636</v>
      </c>
      <c r="H273" s="71" t="s">
        <v>397</v>
      </c>
      <c r="I273" s="71" t="s">
        <v>378</v>
      </c>
    </row>
    <row r="274" spans="1:9" ht="87" x14ac:dyDescent="0.35">
      <c r="A274" s="195">
        <v>2</v>
      </c>
      <c r="B274" s="195">
        <v>24</v>
      </c>
      <c r="C274" s="195" t="s">
        <v>657</v>
      </c>
      <c r="D274" s="195">
        <v>4</v>
      </c>
      <c r="E274" s="195" t="s">
        <v>373</v>
      </c>
      <c r="F274" s="71" t="s">
        <v>367</v>
      </c>
      <c r="G274" s="71" t="s">
        <v>636</v>
      </c>
      <c r="H274" s="71" t="s">
        <v>397</v>
      </c>
      <c r="I274" s="71" t="s">
        <v>380</v>
      </c>
    </row>
    <row r="275" spans="1:9" ht="87" x14ac:dyDescent="0.35">
      <c r="A275" s="195">
        <v>2</v>
      </c>
      <c r="B275" s="195">
        <v>25</v>
      </c>
      <c r="C275" s="195" t="s">
        <v>658</v>
      </c>
      <c r="D275" s="195">
        <v>0</v>
      </c>
      <c r="E275" s="195" t="s">
        <v>373</v>
      </c>
      <c r="F275" s="71" t="s">
        <v>367</v>
      </c>
      <c r="G275" s="71" t="s">
        <v>636</v>
      </c>
      <c r="H275" s="71" t="s">
        <v>397</v>
      </c>
      <c r="I275" s="71" t="s">
        <v>382</v>
      </c>
    </row>
    <row r="276" spans="1:9" ht="87" x14ac:dyDescent="0.35">
      <c r="A276" s="195">
        <v>2</v>
      </c>
      <c r="B276" s="195">
        <v>26</v>
      </c>
      <c r="C276" s="195" t="s">
        <v>659</v>
      </c>
      <c r="D276" s="64">
        <v>5360</v>
      </c>
      <c r="E276" s="195" t="s">
        <v>373</v>
      </c>
      <c r="F276" s="71" t="s">
        <v>367</v>
      </c>
      <c r="G276" s="71" t="s">
        <v>636</v>
      </c>
      <c r="H276" s="71" t="s">
        <v>397</v>
      </c>
      <c r="I276" s="71" t="s">
        <v>384</v>
      </c>
    </row>
    <row r="277" spans="1:9" ht="87" x14ac:dyDescent="0.35">
      <c r="A277" s="195">
        <v>2</v>
      </c>
      <c r="B277" s="195">
        <v>27</v>
      </c>
      <c r="C277" s="195" t="s">
        <v>660</v>
      </c>
      <c r="D277" s="195">
        <v>230</v>
      </c>
      <c r="E277" s="195" t="s">
        <v>373</v>
      </c>
      <c r="F277" s="71" t="s">
        <v>367</v>
      </c>
      <c r="G277" s="71" t="s">
        <v>636</v>
      </c>
      <c r="H277" s="71" t="s">
        <v>397</v>
      </c>
      <c r="I277" s="71" t="s">
        <v>386</v>
      </c>
    </row>
    <row r="278" spans="1:9" ht="87" x14ac:dyDescent="0.35">
      <c r="A278" s="195">
        <v>2</v>
      </c>
      <c r="B278" s="195">
        <v>28</v>
      </c>
      <c r="C278" s="195" t="s">
        <v>661</v>
      </c>
      <c r="D278" s="64">
        <v>4945</v>
      </c>
      <c r="E278" s="195" t="s">
        <v>366</v>
      </c>
      <c r="F278" s="71" t="s">
        <v>367</v>
      </c>
      <c r="G278" s="71" t="s">
        <v>636</v>
      </c>
      <c r="H278" s="71" t="s">
        <v>406</v>
      </c>
      <c r="I278" s="71" t="s">
        <v>364</v>
      </c>
    </row>
    <row r="279" spans="1:9" ht="87" x14ac:dyDescent="0.35">
      <c r="A279" s="195">
        <v>2</v>
      </c>
      <c r="B279" s="195">
        <v>29</v>
      </c>
      <c r="C279" s="195" t="s">
        <v>662</v>
      </c>
      <c r="D279" s="64">
        <v>2225</v>
      </c>
      <c r="E279" s="195" t="s">
        <v>373</v>
      </c>
      <c r="F279" s="71" t="s">
        <v>367</v>
      </c>
      <c r="G279" s="71" t="s">
        <v>636</v>
      </c>
      <c r="H279" s="71" t="s">
        <v>406</v>
      </c>
      <c r="I279" s="71" t="s">
        <v>374</v>
      </c>
    </row>
    <row r="280" spans="1:9" ht="87" x14ac:dyDescent="0.35">
      <c r="A280" s="195">
        <v>2</v>
      </c>
      <c r="B280" s="195">
        <v>30</v>
      </c>
      <c r="C280" s="195" t="s">
        <v>663</v>
      </c>
      <c r="D280" s="64">
        <v>725</v>
      </c>
      <c r="E280" s="195" t="s">
        <v>373</v>
      </c>
      <c r="F280" s="71" t="s">
        <v>367</v>
      </c>
      <c r="G280" s="71" t="s">
        <v>636</v>
      </c>
      <c r="H280" s="71" t="s">
        <v>406</v>
      </c>
      <c r="I280" s="71" t="s">
        <v>376</v>
      </c>
    </row>
    <row r="281" spans="1:9" ht="87" x14ac:dyDescent="0.35">
      <c r="A281" s="195">
        <v>2</v>
      </c>
      <c r="B281" s="195">
        <v>31</v>
      </c>
      <c r="C281" s="195" t="s">
        <v>664</v>
      </c>
      <c r="D281" s="195">
        <v>335</v>
      </c>
      <c r="E281" s="195" t="s">
        <v>373</v>
      </c>
      <c r="F281" s="71" t="s">
        <v>367</v>
      </c>
      <c r="G281" s="71" t="s">
        <v>636</v>
      </c>
      <c r="H281" s="71" t="s">
        <v>406</v>
      </c>
      <c r="I281" s="71" t="s">
        <v>378</v>
      </c>
    </row>
    <row r="282" spans="1:9" ht="87" x14ac:dyDescent="0.35">
      <c r="A282" s="195">
        <v>2</v>
      </c>
      <c r="B282" s="195">
        <v>32</v>
      </c>
      <c r="C282" s="195" t="s">
        <v>665</v>
      </c>
      <c r="D282" s="195">
        <v>0</v>
      </c>
      <c r="E282" s="195" t="s">
        <v>373</v>
      </c>
      <c r="F282" s="71" t="s">
        <v>367</v>
      </c>
      <c r="G282" s="71" t="s">
        <v>636</v>
      </c>
      <c r="H282" s="71" t="s">
        <v>406</v>
      </c>
      <c r="I282" s="71" t="s">
        <v>380</v>
      </c>
    </row>
    <row r="283" spans="1:9" ht="87" x14ac:dyDescent="0.35">
      <c r="A283" s="195">
        <v>2</v>
      </c>
      <c r="B283" s="195">
        <v>33</v>
      </c>
      <c r="C283" s="195" t="s">
        <v>666</v>
      </c>
      <c r="D283" s="195">
        <v>0</v>
      </c>
      <c r="E283" s="195" t="s">
        <v>373</v>
      </c>
      <c r="F283" s="71" t="s">
        <v>367</v>
      </c>
      <c r="G283" s="71" t="s">
        <v>636</v>
      </c>
      <c r="H283" s="71" t="s">
        <v>406</v>
      </c>
      <c r="I283" s="71" t="s">
        <v>382</v>
      </c>
    </row>
    <row r="284" spans="1:9" ht="87" x14ac:dyDescent="0.35">
      <c r="A284" s="195">
        <v>2</v>
      </c>
      <c r="B284" s="195">
        <v>34</v>
      </c>
      <c r="C284" s="195" t="s">
        <v>667</v>
      </c>
      <c r="D284" s="64">
        <v>1635</v>
      </c>
      <c r="E284" s="195" t="s">
        <v>373</v>
      </c>
      <c r="F284" s="71" t="s">
        <v>367</v>
      </c>
      <c r="G284" s="71" t="s">
        <v>636</v>
      </c>
      <c r="H284" s="71" t="s">
        <v>406</v>
      </c>
      <c r="I284" s="71" t="s">
        <v>384</v>
      </c>
    </row>
    <row r="285" spans="1:9" ht="87" x14ac:dyDescent="0.35">
      <c r="A285" s="195">
        <v>2</v>
      </c>
      <c r="B285" s="195">
        <v>35</v>
      </c>
      <c r="C285" s="195" t="s">
        <v>668</v>
      </c>
      <c r="D285" s="195">
        <v>25</v>
      </c>
      <c r="E285" s="195" t="s">
        <v>373</v>
      </c>
      <c r="F285" s="71" t="s">
        <v>367</v>
      </c>
      <c r="G285" s="71" t="s">
        <v>636</v>
      </c>
      <c r="H285" s="71" t="s">
        <v>406</v>
      </c>
      <c r="I285" s="71" t="s">
        <v>386</v>
      </c>
    </row>
    <row r="286" spans="1:9" ht="87" x14ac:dyDescent="0.35">
      <c r="A286" s="195">
        <v>2</v>
      </c>
      <c r="B286" s="195">
        <v>36</v>
      </c>
      <c r="C286" s="195" t="s">
        <v>669</v>
      </c>
      <c r="D286" s="64">
        <v>8330</v>
      </c>
      <c r="E286" s="195" t="s">
        <v>366</v>
      </c>
      <c r="F286" s="71" t="s">
        <v>367</v>
      </c>
      <c r="G286" s="71" t="s">
        <v>636</v>
      </c>
      <c r="H286" s="71" t="s">
        <v>415</v>
      </c>
      <c r="I286" s="71" t="s">
        <v>364</v>
      </c>
    </row>
    <row r="287" spans="1:9" ht="87" x14ac:dyDescent="0.35">
      <c r="A287" s="195">
        <v>2</v>
      </c>
      <c r="B287" s="195">
        <v>37</v>
      </c>
      <c r="C287" s="195" t="s">
        <v>670</v>
      </c>
      <c r="D287" s="64">
        <v>3955</v>
      </c>
      <c r="E287" s="195" t="s">
        <v>373</v>
      </c>
      <c r="F287" s="71" t="s">
        <v>367</v>
      </c>
      <c r="G287" s="71" t="s">
        <v>636</v>
      </c>
      <c r="H287" s="71" t="s">
        <v>415</v>
      </c>
      <c r="I287" s="71" t="s">
        <v>374</v>
      </c>
    </row>
    <row r="288" spans="1:9" ht="87" x14ac:dyDescent="0.35">
      <c r="A288" s="195">
        <v>2</v>
      </c>
      <c r="B288" s="195">
        <v>38</v>
      </c>
      <c r="C288" s="195" t="s">
        <v>671</v>
      </c>
      <c r="D288" s="64">
        <v>1100</v>
      </c>
      <c r="E288" s="195" t="s">
        <v>373</v>
      </c>
      <c r="F288" s="71" t="s">
        <v>367</v>
      </c>
      <c r="G288" s="71" t="s">
        <v>636</v>
      </c>
      <c r="H288" s="71" t="s">
        <v>415</v>
      </c>
      <c r="I288" s="71" t="s">
        <v>376</v>
      </c>
    </row>
    <row r="289" spans="1:9" ht="87" x14ac:dyDescent="0.35">
      <c r="A289" s="195">
        <v>2</v>
      </c>
      <c r="B289" s="195">
        <v>39</v>
      </c>
      <c r="C289" s="195" t="s">
        <v>672</v>
      </c>
      <c r="D289" s="64">
        <v>925</v>
      </c>
      <c r="E289" s="195" t="s">
        <v>373</v>
      </c>
      <c r="F289" s="71" t="s">
        <v>367</v>
      </c>
      <c r="G289" s="71" t="s">
        <v>636</v>
      </c>
      <c r="H289" s="71" t="s">
        <v>415</v>
      </c>
      <c r="I289" s="71" t="s">
        <v>378</v>
      </c>
    </row>
    <row r="290" spans="1:9" ht="87" x14ac:dyDescent="0.35">
      <c r="A290" s="195">
        <v>2</v>
      </c>
      <c r="B290" s="195">
        <v>40</v>
      </c>
      <c r="C290" s="195" t="s">
        <v>673</v>
      </c>
      <c r="D290" s="195">
        <v>0</v>
      </c>
      <c r="E290" s="195" t="s">
        <v>373</v>
      </c>
      <c r="F290" s="71" t="s">
        <v>367</v>
      </c>
      <c r="G290" s="71" t="s">
        <v>636</v>
      </c>
      <c r="H290" s="71" t="s">
        <v>415</v>
      </c>
      <c r="I290" s="71" t="s">
        <v>380</v>
      </c>
    </row>
    <row r="291" spans="1:9" ht="87" x14ac:dyDescent="0.35">
      <c r="A291" s="195">
        <v>2</v>
      </c>
      <c r="B291" s="195">
        <v>41</v>
      </c>
      <c r="C291" s="195" t="s">
        <v>674</v>
      </c>
      <c r="D291" s="195">
        <v>0</v>
      </c>
      <c r="E291" s="195" t="s">
        <v>373</v>
      </c>
      <c r="F291" s="71" t="s">
        <v>367</v>
      </c>
      <c r="G291" s="71" t="s">
        <v>636</v>
      </c>
      <c r="H291" s="71" t="s">
        <v>415</v>
      </c>
      <c r="I291" s="71" t="s">
        <v>382</v>
      </c>
    </row>
    <row r="292" spans="1:9" ht="87" x14ac:dyDescent="0.35">
      <c r="A292" s="195">
        <v>2</v>
      </c>
      <c r="B292" s="195">
        <v>42</v>
      </c>
      <c r="C292" s="195" t="s">
        <v>675</v>
      </c>
      <c r="D292" s="64">
        <v>2300</v>
      </c>
      <c r="E292" s="195" t="s">
        <v>373</v>
      </c>
      <c r="F292" s="71" t="s">
        <v>367</v>
      </c>
      <c r="G292" s="71" t="s">
        <v>636</v>
      </c>
      <c r="H292" s="71" t="s">
        <v>415</v>
      </c>
      <c r="I292" s="71" t="s">
        <v>384</v>
      </c>
    </row>
    <row r="293" spans="1:9" ht="87" x14ac:dyDescent="0.35">
      <c r="A293" s="195">
        <v>2</v>
      </c>
      <c r="B293" s="195">
        <v>43</v>
      </c>
      <c r="C293" s="195" t="s">
        <v>676</v>
      </c>
      <c r="D293" s="195">
        <v>50</v>
      </c>
      <c r="E293" s="195" t="s">
        <v>373</v>
      </c>
      <c r="F293" s="71" t="s">
        <v>367</v>
      </c>
      <c r="G293" s="71" t="s">
        <v>636</v>
      </c>
      <c r="H293" s="71" t="s">
        <v>415</v>
      </c>
      <c r="I293" s="71" t="s">
        <v>386</v>
      </c>
    </row>
    <row r="294" spans="1:9" ht="43.5" x14ac:dyDescent="0.35">
      <c r="A294" s="195">
        <v>2</v>
      </c>
      <c r="B294" s="195">
        <v>44</v>
      </c>
      <c r="C294" s="195" t="s">
        <v>677</v>
      </c>
      <c r="D294" s="64">
        <v>372685</v>
      </c>
      <c r="E294" s="195" t="s">
        <v>366</v>
      </c>
      <c r="F294" s="71" t="s">
        <v>367</v>
      </c>
      <c r="G294" s="71" t="s">
        <v>678</v>
      </c>
      <c r="H294" s="71" t="s">
        <v>363</v>
      </c>
      <c r="I294" s="71" t="s">
        <v>364</v>
      </c>
    </row>
    <row r="295" spans="1:9" ht="43.5" x14ac:dyDescent="0.35">
      <c r="A295" s="195">
        <v>2</v>
      </c>
      <c r="B295" s="195">
        <v>45</v>
      </c>
      <c r="C295" s="195" t="s">
        <v>679</v>
      </c>
      <c r="D295" s="64">
        <v>11065</v>
      </c>
      <c r="E295" s="195" t="s">
        <v>366</v>
      </c>
      <c r="F295" s="71" t="s">
        <v>367</v>
      </c>
      <c r="G295" s="71" t="s">
        <v>678</v>
      </c>
      <c r="H295" s="71" t="s">
        <v>371</v>
      </c>
      <c r="I295" s="71" t="s">
        <v>364</v>
      </c>
    </row>
    <row r="296" spans="1:9" ht="43.5" x14ac:dyDescent="0.35">
      <c r="A296" s="195">
        <v>2</v>
      </c>
      <c r="B296" s="195">
        <v>46</v>
      </c>
      <c r="C296" s="195" t="s">
        <v>680</v>
      </c>
      <c r="D296" s="64">
        <v>4055</v>
      </c>
      <c r="E296" s="195" t="s">
        <v>373</v>
      </c>
      <c r="F296" s="71" t="s">
        <v>367</v>
      </c>
      <c r="G296" s="71" t="s">
        <v>678</v>
      </c>
      <c r="H296" s="71" t="s">
        <v>371</v>
      </c>
      <c r="I296" s="71" t="s">
        <v>374</v>
      </c>
    </row>
    <row r="297" spans="1:9" ht="43.5" x14ac:dyDescent="0.35">
      <c r="A297" s="195">
        <v>2</v>
      </c>
      <c r="B297" s="195">
        <v>47</v>
      </c>
      <c r="C297" s="195" t="s">
        <v>681</v>
      </c>
      <c r="D297" s="64">
        <v>4105</v>
      </c>
      <c r="E297" s="195" t="s">
        <v>373</v>
      </c>
      <c r="F297" s="71" t="s">
        <v>367</v>
      </c>
      <c r="G297" s="71" t="s">
        <v>678</v>
      </c>
      <c r="H297" s="71" t="s">
        <v>371</v>
      </c>
      <c r="I297" s="71" t="s">
        <v>376</v>
      </c>
    </row>
    <row r="298" spans="1:9" ht="43.5" x14ac:dyDescent="0.35">
      <c r="A298" s="195">
        <v>2</v>
      </c>
      <c r="B298" s="195">
        <v>48</v>
      </c>
      <c r="C298" s="195" t="s">
        <v>682</v>
      </c>
      <c r="D298" s="195">
        <v>550</v>
      </c>
      <c r="E298" s="195" t="s">
        <v>373</v>
      </c>
      <c r="F298" s="71" t="s">
        <v>367</v>
      </c>
      <c r="G298" s="71" t="s">
        <v>678</v>
      </c>
      <c r="H298" s="71" t="s">
        <v>371</v>
      </c>
      <c r="I298" s="71" t="s">
        <v>378</v>
      </c>
    </row>
    <row r="299" spans="1:9" ht="43.5" x14ac:dyDescent="0.35">
      <c r="A299" s="195">
        <v>2</v>
      </c>
      <c r="B299" s="195">
        <v>49</v>
      </c>
      <c r="C299" s="195" t="s">
        <v>683</v>
      </c>
      <c r="D299" s="195">
        <v>0</v>
      </c>
      <c r="E299" s="195" t="s">
        <v>373</v>
      </c>
      <c r="F299" s="71" t="s">
        <v>367</v>
      </c>
      <c r="G299" s="71" t="s">
        <v>678</v>
      </c>
      <c r="H299" s="71" t="s">
        <v>371</v>
      </c>
      <c r="I299" s="71" t="s">
        <v>380</v>
      </c>
    </row>
    <row r="300" spans="1:9" ht="43.5" x14ac:dyDescent="0.35">
      <c r="A300" s="195">
        <v>2</v>
      </c>
      <c r="B300" s="195">
        <v>50</v>
      </c>
      <c r="C300" s="195" t="s">
        <v>684</v>
      </c>
      <c r="D300" s="195">
        <v>10</v>
      </c>
      <c r="E300" s="195" t="s">
        <v>373</v>
      </c>
      <c r="F300" s="71" t="s">
        <v>367</v>
      </c>
      <c r="G300" s="71" t="s">
        <v>678</v>
      </c>
      <c r="H300" s="71" t="s">
        <v>371</v>
      </c>
      <c r="I300" s="71" t="s">
        <v>382</v>
      </c>
    </row>
    <row r="301" spans="1:9" ht="43.5" x14ac:dyDescent="0.35">
      <c r="A301" s="195">
        <v>2</v>
      </c>
      <c r="B301" s="195">
        <v>51</v>
      </c>
      <c r="C301" s="195" t="s">
        <v>685</v>
      </c>
      <c r="D301" s="64">
        <v>2190</v>
      </c>
      <c r="E301" s="195" t="s">
        <v>373</v>
      </c>
      <c r="F301" s="71" t="s">
        <v>367</v>
      </c>
      <c r="G301" s="71" t="s">
        <v>678</v>
      </c>
      <c r="H301" s="71" t="s">
        <v>371</v>
      </c>
      <c r="I301" s="71" t="s">
        <v>384</v>
      </c>
    </row>
    <row r="302" spans="1:9" ht="43.5" x14ac:dyDescent="0.35">
      <c r="A302" s="195">
        <v>2</v>
      </c>
      <c r="B302" s="195">
        <v>52</v>
      </c>
      <c r="C302" s="195" t="s">
        <v>686</v>
      </c>
      <c r="D302" s="195">
        <v>150</v>
      </c>
      <c r="E302" s="195" t="s">
        <v>373</v>
      </c>
      <c r="F302" s="71" t="s">
        <v>367</v>
      </c>
      <c r="G302" s="71" t="s">
        <v>678</v>
      </c>
      <c r="H302" s="71" t="s">
        <v>371</v>
      </c>
      <c r="I302" s="71" t="s">
        <v>386</v>
      </c>
    </row>
    <row r="303" spans="1:9" ht="43.5" x14ac:dyDescent="0.35">
      <c r="A303" s="195">
        <v>2</v>
      </c>
      <c r="B303" s="195">
        <v>53</v>
      </c>
      <c r="C303" s="195" t="s">
        <v>687</v>
      </c>
      <c r="D303" s="64">
        <v>30130</v>
      </c>
      <c r="E303" s="195" t="s">
        <v>366</v>
      </c>
      <c r="F303" s="71" t="s">
        <v>367</v>
      </c>
      <c r="G303" s="71" t="s">
        <v>678</v>
      </c>
      <c r="H303" s="71" t="s">
        <v>388</v>
      </c>
      <c r="I303" s="71" t="s">
        <v>364</v>
      </c>
    </row>
    <row r="304" spans="1:9" ht="43.5" x14ac:dyDescent="0.35">
      <c r="A304" s="195">
        <v>2</v>
      </c>
      <c r="B304" s="195">
        <v>54</v>
      </c>
      <c r="C304" s="195" t="s">
        <v>688</v>
      </c>
      <c r="D304" s="64">
        <v>11065</v>
      </c>
      <c r="E304" s="195" t="s">
        <v>373</v>
      </c>
      <c r="F304" s="71" t="s">
        <v>367</v>
      </c>
      <c r="G304" s="71" t="s">
        <v>678</v>
      </c>
      <c r="H304" s="71" t="s">
        <v>388</v>
      </c>
      <c r="I304" s="71" t="s">
        <v>374</v>
      </c>
    </row>
    <row r="305" spans="1:9" ht="43.5" x14ac:dyDescent="0.35">
      <c r="A305" s="195">
        <v>2</v>
      </c>
      <c r="B305" s="195">
        <v>55</v>
      </c>
      <c r="C305" s="195" t="s">
        <v>689</v>
      </c>
      <c r="D305" s="64">
        <v>9870</v>
      </c>
      <c r="E305" s="195" t="s">
        <v>373</v>
      </c>
      <c r="F305" s="71" t="s">
        <v>367</v>
      </c>
      <c r="G305" s="71" t="s">
        <v>678</v>
      </c>
      <c r="H305" s="71" t="s">
        <v>388</v>
      </c>
      <c r="I305" s="71" t="s">
        <v>376</v>
      </c>
    </row>
    <row r="306" spans="1:9" ht="43.5" x14ac:dyDescent="0.35">
      <c r="A306" s="195">
        <v>2</v>
      </c>
      <c r="B306" s="195">
        <v>56</v>
      </c>
      <c r="C306" s="195" t="s">
        <v>690</v>
      </c>
      <c r="D306" s="64">
        <v>1335</v>
      </c>
      <c r="E306" s="195" t="s">
        <v>373</v>
      </c>
      <c r="F306" s="71" t="s">
        <v>367</v>
      </c>
      <c r="G306" s="71" t="s">
        <v>678</v>
      </c>
      <c r="H306" s="71" t="s">
        <v>388</v>
      </c>
      <c r="I306" s="71" t="s">
        <v>378</v>
      </c>
    </row>
    <row r="307" spans="1:9" ht="43.5" x14ac:dyDescent="0.35">
      <c r="A307" s="195">
        <v>2</v>
      </c>
      <c r="B307" s="195">
        <v>57</v>
      </c>
      <c r="C307" s="195" t="s">
        <v>691</v>
      </c>
      <c r="D307" s="195">
        <v>0</v>
      </c>
      <c r="E307" s="195" t="s">
        <v>373</v>
      </c>
      <c r="F307" s="71" t="s">
        <v>367</v>
      </c>
      <c r="G307" s="71" t="s">
        <v>678</v>
      </c>
      <c r="H307" s="71" t="s">
        <v>388</v>
      </c>
      <c r="I307" s="71" t="s">
        <v>380</v>
      </c>
    </row>
    <row r="308" spans="1:9" ht="43.5" x14ac:dyDescent="0.35">
      <c r="A308" s="195">
        <v>2</v>
      </c>
      <c r="B308" s="195">
        <v>58</v>
      </c>
      <c r="C308" s="195" t="s">
        <v>692</v>
      </c>
      <c r="D308" s="195">
        <v>0</v>
      </c>
      <c r="E308" s="195" t="s">
        <v>373</v>
      </c>
      <c r="F308" s="71" t="s">
        <v>367</v>
      </c>
      <c r="G308" s="71" t="s">
        <v>678</v>
      </c>
      <c r="H308" s="71" t="s">
        <v>388</v>
      </c>
      <c r="I308" s="71" t="s">
        <v>382</v>
      </c>
    </row>
    <row r="309" spans="1:9" ht="43.5" x14ac:dyDescent="0.35">
      <c r="A309" s="195">
        <v>2</v>
      </c>
      <c r="B309" s="195">
        <v>59</v>
      </c>
      <c r="C309" s="195" t="s">
        <v>693</v>
      </c>
      <c r="D309" s="64">
        <v>7640</v>
      </c>
      <c r="E309" s="195" t="s">
        <v>373</v>
      </c>
      <c r="F309" s="71" t="s">
        <v>367</v>
      </c>
      <c r="G309" s="71" t="s">
        <v>678</v>
      </c>
      <c r="H309" s="71" t="s">
        <v>388</v>
      </c>
      <c r="I309" s="71" t="s">
        <v>384</v>
      </c>
    </row>
    <row r="310" spans="1:9" ht="43.5" x14ac:dyDescent="0.35">
      <c r="A310" s="195">
        <v>2</v>
      </c>
      <c r="B310" s="195">
        <v>60</v>
      </c>
      <c r="C310" s="195" t="s">
        <v>694</v>
      </c>
      <c r="D310" s="195">
        <v>225</v>
      </c>
      <c r="E310" s="195" t="s">
        <v>373</v>
      </c>
      <c r="F310" s="71" t="s">
        <v>367</v>
      </c>
      <c r="G310" s="71" t="s">
        <v>678</v>
      </c>
      <c r="H310" s="71" t="s">
        <v>388</v>
      </c>
      <c r="I310" s="71" t="s">
        <v>386</v>
      </c>
    </row>
    <row r="311" spans="1:9" ht="43.5" x14ac:dyDescent="0.35">
      <c r="A311" s="195">
        <v>2</v>
      </c>
      <c r="B311" s="195">
        <v>61</v>
      </c>
      <c r="C311" s="195" t="s">
        <v>695</v>
      </c>
      <c r="D311" s="64">
        <v>56240</v>
      </c>
      <c r="E311" s="195" t="s">
        <v>366</v>
      </c>
      <c r="F311" s="71" t="s">
        <v>367</v>
      </c>
      <c r="G311" s="71" t="s">
        <v>678</v>
      </c>
      <c r="H311" s="71" t="s">
        <v>397</v>
      </c>
      <c r="I311" s="71" t="s">
        <v>364</v>
      </c>
    </row>
    <row r="312" spans="1:9" ht="43.5" x14ac:dyDescent="0.35">
      <c r="A312" s="195">
        <v>2</v>
      </c>
      <c r="B312" s="195">
        <v>62</v>
      </c>
      <c r="C312" s="195" t="s">
        <v>696</v>
      </c>
      <c r="D312" s="64">
        <v>18635</v>
      </c>
      <c r="E312" s="195" t="s">
        <v>373</v>
      </c>
      <c r="F312" s="71" t="s">
        <v>367</v>
      </c>
      <c r="G312" s="71" t="s">
        <v>678</v>
      </c>
      <c r="H312" s="71" t="s">
        <v>397</v>
      </c>
      <c r="I312" s="71" t="s">
        <v>374</v>
      </c>
    </row>
    <row r="313" spans="1:9" ht="43.5" x14ac:dyDescent="0.35">
      <c r="A313" s="195">
        <v>2</v>
      </c>
      <c r="B313" s="195">
        <v>63</v>
      </c>
      <c r="C313" s="195" t="s">
        <v>697</v>
      </c>
      <c r="D313" s="64">
        <v>17350</v>
      </c>
      <c r="E313" s="195" t="s">
        <v>373</v>
      </c>
      <c r="F313" s="71" t="s">
        <v>367</v>
      </c>
      <c r="G313" s="71" t="s">
        <v>678</v>
      </c>
      <c r="H313" s="71" t="s">
        <v>397</v>
      </c>
      <c r="I313" s="71" t="s">
        <v>376</v>
      </c>
    </row>
    <row r="314" spans="1:9" ht="43.5" x14ac:dyDescent="0.35">
      <c r="A314" s="195">
        <v>2</v>
      </c>
      <c r="B314" s="195">
        <v>64</v>
      </c>
      <c r="C314" s="195" t="s">
        <v>698</v>
      </c>
      <c r="D314" s="64">
        <v>2555</v>
      </c>
      <c r="E314" s="195" t="s">
        <v>373</v>
      </c>
      <c r="F314" s="71" t="s">
        <v>367</v>
      </c>
      <c r="G314" s="71" t="s">
        <v>678</v>
      </c>
      <c r="H314" s="71" t="s">
        <v>397</v>
      </c>
      <c r="I314" s="71" t="s">
        <v>378</v>
      </c>
    </row>
    <row r="315" spans="1:9" ht="43.5" x14ac:dyDescent="0.35">
      <c r="A315" s="195">
        <v>2</v>
      </c>
      <c r="B315" s="195">
        <v>65</v>
      </c>
      <c r="C315" s="195" t="s">
        <v>699</v>
      </c>
      <c r="D315" s="195">
        <v>80</v>
      </c>
      <c r="E315" s="195" t="s">
        <v>373</v>
      </c>
      <c r="F315" s="71" t="s">
        <v>367</v>
      </c>
      <c r="G315" s="71" t="s">
        <v>678</v>
      </c>
      <c r="H315" s="71" t="s">
        <v>397</v>
      </c>
      <c r="I315" s="71" t="s">
        <v>380</v>
      </c>
    </row>
    <row r="316" spans="1:9" ht="43.5" x14ac:dyDescent="0.35">
      <c r="A316" s="195">
        <v>2</v>
      </c>
      <c r="B316" s="195">
        <v>66</v>
      </c>
      <c r="C316" s="195" t="s">
        <v>700</v>
      </c>
      <c r="D316" s="195">
        <v>0</v>
      </c>
      <c r="E316" s="195" t="s">
        <v>373</v>
      </c>
      <c r="F316" s="71" t="s">
        <v>367</v>
      </c>
      <c r="G316" s="71" t="s">
        <v>678</v>
      </c>
      <c r="H316" s="71" t="s">
        <v>397</v>
      </c>
      <c r="I316" s="71" t="s">
        <v>382</v>
      </c>
    </row>
    <row r="317" spans="1:9" ht="43.5" x14ac:dyDescent="0.35">
      <c r="A317" s="195">
        <v>2</v>
      </c>
      <c r="B317" s="195">
        <v>67</v>
      </c>
      <c r="C317" s="195" t="s">
        <v>701</v>
      </c>
      <c r="D317" s="64">
        <v>17105</v>
      </c>
      <c r="E317" s="195" t="s">
        <v>373</v>
      </c>
      <c r="F317" s="71" t="s">
        <v>367</v>
      </c>
      <c r="G317" s="71" t="s">
        <v>678</v>
      </c>
      <c r="H317" s="71" t="s">
        <v>397</v>
      </c>
      <c r="I317" s="71" t="s">
        <v>384</v>
      </c>
    </row>
    <row r="318" spans="1:9" ht="43.5" x14ac:dyDescent="0.35">
      <c r="A318" s="195">
        <v>2</v>
      </c>
      <c r="B318" s="195">
        <v>68</v>
      </c>
      <c r="C318" s="195" t="s">
        <v>702</v>
      </c>
      <c r="D318" s="64">
        <v>520</v>
      </c>
      <c r="E318" s="195" t="s">
        <v>373</v>
      </c>
      <c r="F318" s="71" t="s">
        <v>367</v>
      </c>
      <c r="G318" s="71" t="s">
        <v>678</v>
      </c>
      <c r="H318" s="71" t="s">
        <v>397</v>
      </c>
      <c r="I318" s="71" t="s">
        <v>386</v>
      </c>
    </row>
    <row r="319" spans="1:9" ht="43.5" x14ac:dyDescent="0.35">
      <c r="A319" s="195">
        <v>2</v>
      </c>
      <c r="B319" s="195">
        <v>69</v>
      </c>
      <c r="C319" s="195" t="s">
        <v>703</v>
      </c>
      <c r="D319" s="64">
        <v>40055</v>
      </c>
      <c r="E319" s="195" t="s">
        <v>366</v>
      </c>
      <c r="F319" s="71" t="s">
        <v>367</v>
      </c>
      <c r="G319" s="71" t="s">
        <v>678</v>
      </c>
      <c r="H319" s="71" t="s">
        <v>406</v>
      </c>
      <c r="I319" s="71" t="s">
        <v>364</v>
      </c>
    </row>
    <row r="320" spans="1:9" ht="43.5" x14ac:dyDescent="0.35">
      <c r="A320" s="195">
        <v>2</v>
      </c>
      <c r="B320" s="195">
        <v>70</v>
      </c>
      <c r="C320" s="195" t="s">
        <v>704</v>
      </c>
      <c r="D320" s="64">
        <v>15070</v>
      </c>
      <c r="E320" s="195" t="s">
        <v>373</v>
      </c>
      <c r="F320" s="71" t="s">
        <v>367</v>
      </c>
      <c r="G320" s="71" t="s">
        <v>678</v>
      </c>
      <c r="H320" s="71" t="s">
        <v>406</v>
      </c>
      <c r="I320" s="71" t="s">
        <v>374</v>
      </c>
    </row>
    <row r="321" spans="1:9" ht="43.5" x14ac:dyDescent="0.35">
      <c r="A321" s="195">
        <v>2</v>
      </c>
      <c r="B321" s="195">
        <v>71</v>
      </c>
      <c r="C321" s="195" t="s">
        <v>705</v>
      </c>
      <c r="D321" s="64">
        <v>11815</v>
      </c>
      <c r="E321" s="195" t="s">
        <v>373</v>
      </c>
      <c r="F321" s="71" t="s">
        <v>367</v>
      </c>
      <c r="G321" s="71" t="s">
        <v>678</v>
      </c>
      <c r="H321" s="71" t="s">
        <v>406</v>
      </c>
      <c r="I321" s="71" t="s">
        <v>376</v>
      </c>
    </row>
    <row r="322" spans="1:9" ht="43.5" x14ac:dyDescent="0.35">
      <c r="A322" s="195">
        <v>2</v>
      </c>
      <c r="B322" s="195">
        <v>72</v>
      </c>
      <c r="C322" s="195" t="s">
        <v>706</v>
      </c>
      <c r="D322" s="64">
        <v>1990</v>
      </c>
      <c r="E322" s="195" t="s">
        <v>373</v>
      </c>
      <c r="F322" s="71" t="s">
        <v>367</v>
      </c>
      <c r="G322" s="71" t="s">
        <v>678</v>
      </c>
      <c r="H322" s="71" t="s">
        <v>406</v>
      </c>
      <c r="I322" s="71" t="s">
        <v>378</v>
      </c>
    </row>
    <row r="323" spans="1:9" ht="43.5" x14ac:dyDescent="0.35">
      <c r="A323" s="195">
        <v>2</v>
      </c>
      <c r="B323" s="195">
        <v>73</v>
      </c>
      <c r="C323" s="195" t="s">
        <v>707</v>
      </c>
      <c r="D323" s="195">
        <v>4</v>
      </c>
      <c r="E323" s="195" t="s">
        <v>373</v>
      </c>
      <c r="F323" s="71" t="s">
        <v>367</v>
      </c>
      <c r="G323" s="71" t="s">
        <v>678</v>
      </c>
      <c r="H323" s="71" t="s">
        <v>406</v>
      </c>
      <c r="I323" s="71" t="s">
        <v>380</v>
      </c>
    </row>
    <row r="324" spans="1:9" ht="43.5" x14ac:dyDescent="0.35">
      <c r="A324" s="195">
        <v>2</v>
      </c>
      <c r="B324" s="195">
        <v>74</v>
      </c>
      <c r="C324" s="195" t="s">
        <v>708</v>
      </c>
      <c r="D324" s="195">
        <v>15</v>
      </c>
      <c r="E324" s="195" t="s">
        <v>373</v>
      </c>
      <c r="F324" s="71" t="s">
        <v>367</v>
      </c>
      <c r="G324" s="71" t="s">
        <v>678</v>
      </c>
      <c r="H324" s="71" t="s">
        <v>406</v>
      </c>
      <c r="I324" s="71" t="s">
        <v>382</v>
      </c>
    </row>
    <row r="325" spans="1:9" ht="43.5" x14ac:dyDescent="0.35">
      <c r="A325" s="195">
        <v>2</v>
      </c>
      <c r="B325" s="195">
        <v>75</v>
      </c>
      <c r="C325" s="195" t="s">
        <v>709</v>
      </c>
      <c r="D325" s="64">
        <v>10730</v>
      </c>
      <c r="E325" s="195" t="s">
        <v>373</v>
      </c>
      <c r="F325" s="71" t="s">
        <v>367</v>
      </c>
      <c r="G325" s="71" t="s">
        <v>678</v>
      </c>
      <c r="H325" s="71" t="s">
        <v>406</v>
      </c>
      <c r="I325" s="71" t="s">
        <v>384</v>
      </c>
    </row>
    <row r="326" spans="1:9" ht="43.5" x14ac:dyDescent="0.35">
      <c r="A326" s="195">
        <v>2</v>
      </c>
      <c r="B326" s="195">
        <v>76</v>
      </c>
      <c r="C326" s="195" t="s">
        <v>710</v>
      </c>
      <c r="D326" s="195">
        <v>425</v>
      </c>
      <c r="E326" s="195" t="s">
        <v>373</v>
      </c>
      <c r="F326" s="71" t="s">
        <v>367</v>
      </c>
      <c r="G326" s="71" t="s">
        <v>678</v>
      </c>
      <c r="H326" s="71" t="s">
        <v>406</v>
      </c>
      <c r="I326" s="71" t="s">
        <v>386</v>
      </c>
    </row>
    <row r="327" spans="1:9" ht="43.5" x14ac:dyDescent="0.35">
      <c r="A327" s="195">
        <v>2</v>
      </c>
      <c r="B327" s="195">
        <v>77</v>
      </c>
      <c r="C327" s="195" t="s">
        <v>711</v>
      </c>
      <c r="D327" s="64">
        <v>235195</v>
      </c>
      <c r="E327" s="195" t="s">
        <v>366</v>
      </c>
      <c r="F327" s="71" t="s">
        <v>367</v>
      </c>
      <c r="G327" s="71" t="s">
        <v>678</v>
      </c>
      <c r="H327" s="71" t="s">
        <v>415</v>
      </c>
      <c r="I327" s="71" t="s">
        <v>364</v>
      </c>
    </row>
    <row r="328" spans="1:9" ht="43.5" x14ac:dyDescent="0.35">
      <c r="A328" s="195">
        <v>2</v>
      </c>
      <c r="B328" s="195">
        <v>78</v>
      </c>
      <c r="C328" s="195" t="s">
        <v>712</v>
      </c>
      <c r="D328" s="64">
        <v>144000</v>
      </c>
      <c r="E328" s="195" t="s">
        <v>373</v>
      </c>
      <c r="F328" s="71" t="s">
        <v>367</v>
      </c>
      <c r="G328" s="71" t="s">
        <v>678</v>
      </c>
      <c r="H328" s="71" t="s">
        <v>415</v>
      </c>
      <c r="I328" s="71" t="s">
        <v>374</v>
      </c>
    </row>
    <row r="329" spans="1:9" ht="43.5" x14ac:dyDescent="0.35">
      <c r="A329" s="195">
        <v>2</v>
      </c>
      <c r="B329" s="195">
        <v>79</v>
      </c>
      <c r="C329" s="195" t="s">
        <v>713</v>
      </c>
      <c r="D329" s="64">
        <v>40290</v>
      </c>
      <c r="E329" s="195" t="s">
        <v>373</v>
      </c>
      <c r="F329" s="71" t="s">
        <v>367</v>
      </c>
      <c r="G329" s="71" t="s">
        <v>678</v>
      </c>
      <c r="H329" s="71" t="s">
        <v>415</v>
      </c>
      <c r="I329" s="71" t="s">
        <v>376</v>
      </c>
    </row>
    <row r="330" spans="1:9" ht="43.5" x14ac:dyDescent="0.35">
      <c r="A330" s="195">
        <v>2</v>
      </c>
      <c r="B330" s="195">
        <v>80</v>
      </c>
      <c r="C330" s="195" t="s">
        <v>714</v>
      </c>
      <c r="D330" s="64">
        <v>15125</v>
      </c>
      <c r="E330" s="195" t="s">
        <v>373</v>
      </c>
      <c r="F330" s="71" t="s">
        <v>367</v>
      </c>
      <c r="G330" s="71" t="s">
        <v>678</v>
      </c>
      <c r="H330" s="71" t="s">
        <v>415</v>
      </c>
      <c r="I330" s="71" t="s">
        <v>378</v>
      </c>
    </row>
    <row r="331" spans="1:9" ht="43.5" x14ac:dyDescent="0.35">
      <c r="A331" s="195">
        <v>2</v>
      </c>
      <c r="B331" s="195">
        <v>81</v>
      </c>
      <c r="C331" s="195" t="s">
        <v>715</v>
      </c>
      <c r="D331" s="195">
        <v>295</v>
      </c>
      <c r="E331" s="195" t="s">
        <v>373</v>
      </c>
      <c r="F331" s="71" t="s">
        <v>367</v>
      </c>
      <c r="G331" s="71" t="s">
        <v>678</v>
      </c>
      <c r="H331" s="71" t="s">
        <v>415</v>
      </c>
      <c r="I331" s="71" t="s">
        <v>380</v>
      </c>
    </row>
    <row r="332" spans="1:9" ht="43.5" x14ac:dyDescent="0.35">
      <c r="A332" s="195">
        <v>2</v>
      </c>
      <c r="B332" s="195">
        <v>82</v>
      </c>
      <c r="C332" s="195" t="s">
        <v>716</v>
      </c>
      <c r="D332" s="195">
        <v>55</v>
      </c>
      <c r="E332" s="195" t="s">
        <v>373</v>
      </c>
      <c r="F332" s="71" t="s">
        <v>367</v>
      </c>
      <c r="G332" s="71" t="s">
        <v>678</v>
      </c>
      <c r="H332" s="71" t="s">
        <v>415</v>
      </c>
      <c r="I332" s="71" t="s">
        <v>382</v>
      </c>
    </row>
    <row r="333" spans="1:9" ht="43.5" x14ac:dyDescent="0.35">
      <c r="A333" s="195">
        <v>2</v>
      </c>
      <c r="B333" s="195">
        <v>83</v>
      </c>
      <c r="C333" s="195" t="s">
        <v>717</v>
      </c>
      <c r="D333" s="64">
        <v>32330</v>
      </c>
      <c r="E333" s="195" t="s">
        <v>373</v>
      </c>
      <c r="F333" s="71" t="s">
        <v>367</v>
      </c>
      <c r="G333" s="71" t="s">
        <v>678</v>
      </c>
      <c r="H333" s="71" t="s">
        <v>415</v>
      </c>
      <c r="I333" s="71" t="s">
        <v>384</v>
      </c>
    </row>
    <row r="334" spans="1:9" ht="43.5" x14ac:dyDescent="0.35">
      <c r="A334" s="195">
        <v>2</v>
      </c>
      <c r="B334" s="195">
        <v>84</v>
      </c>
      <c r="C334" s="195" t="s">
        <v>718</v>
      </c>
      <c r="D334" s="64">
        <v>3105</v>
      </c>
      <c r="E334" s="195" t="s">
        <v>373</v>
      </c>
      <c r="F334" s="71" t="s">
        <v>367</v>
      </c>
      <c r="G334" s="71" t="s">
        <v>678</v>
      </c>
      <c r="H334" s="71" t="s">
        <v>415</v>
      </c>
      <c r="I334" s="71" t="s">
        <v>386</v>
      </c>
    </row>
    <row r="335" spans="1:9" ht="58" x14ac:dyDescent="0.35">
      <c r="A335" s="195">
        <v>2</v>
      </c>
      <c r="B335" s="195">
        <v>85</v>
      </c>
      <c r="C335" s="195" t="s">
        <v>719</v>
      </c>
      <c r="D335" s="64">
        <v>4550</v>
      </c>
      <c r="E335" s="195" t="s">
        <v>366</v>
      </c>
      <c r="F335" s="71" t="s">
        <v>367</v>
      </c>
      <c r="G335" s="71" t="s">
        <v>720</v>
      </c>
      <c r="H335" s="71" t="s">
        <v>363</v>
      </c>
      <c r="I335" s="71" t="s">
        <v>364</v>
      </c>
    </row>
    <row r="336" spans="1:9" ht="58" x14ac:dyDescent="0.35">
      <c r="A336" s="195">
        <v>2</v>
      </c>
      <c r="B336" s="195">
        <v>86</v>
      </c>
      <c r="C336" s="195" t="s">
        <v>721</v>
      </c>
      <c r="D336" s="64">
        <v>4550</v>
      </c>
      <c r="E336" s="195" t="s">
        <v>366</v>
      </c>
      <c r="F336" s="71" t="s">
        <v>367</v>
      </c>
      <c r="G336" s="71" t="s">
        <v>720</v>
      </c>
      <c r="H336" s="71" t="s">
        <v>371</v>
      </c>
      <c r="I336" s="71" t="s">
        <v>364</v>
      </c>
    </row>
    <row r="337" spans="1:9" ht="58" x14ac:dyDescent="0.35">
      <c r="A337" s="195">
        <v>2</v>
      </c>
      <c r="B337" s="195">
        <v>87</v>
      </c>
      <c r="C337" s="195" t="s">
        <v>722</v>
      </c>
      <c r="D337" s="64">
        <v>1965</v>
      </c>
      <c r="E337" s="195" t="s">
        <v>373</v>
      </c>
      <c r="F337" s="71" t="s">
        <v>367</v>
      </c>
      <c r="G337" s="71" t="s">
        <v>720</v>
      </c>
      <c r="H337" s="71" t="s">
        <v>371</v>
      </c>
      <c r="I337" s="71" t="s">
        <v>374</v>
      </c>
    </row>
    <row r="338" spans="1:9" ht="58" x14ac:dyDescent="0.35">
      <c r="A338" s="195">
        <v>2</v>
      </c>
      <c r="B338" s="195">
        <v>88</v>
      </c>
      <c r="C338" s="195" t="s">
        <v>723</v>
      </c>
      <c r="D338" s="64">
        <v>1580</v>
      </c>
      <c r="E338" s="195" t="s">
        <v>373</v>
      </c>
      <c r="F338" s="71" t="s">
        <v>367</v>
      </c>
      <c r="G338" s="71" t="s">
        <v>720</v>
      </c>
      <c r="H338" s="71" t="s">
        <v>371</v>
      </c>
      <c r="I338" s="71" t="s">
        <v>376</v>
      </c>
    </row>
    <row r="339" spans="1:9" ht="58" x14ac:dyDescent="0.35">
      <c r="A339" s="195">
        <v>2</v>
      </c>
      <c r="B339" s="195">
        <v>89</v>
      </c>
      <c r="C339" s="195" t="s">
        <v>724</v>
      </c>
      <c r="D339" s="195">
        <v>345</v>
      </c>
      <c r="E339" s="195" t="s">
        <v>373</v>
      </c>
      <c r="F339" s="71" t="s">
        <v>367</v>
      </c>
      <c r="G339" s="71" t="s">
        <v>720</v>
      </c>
      <c r="H339" s="71" t="s">
        <v>371</v>
      </c>
      <c r="I339" s="71" t="s">
        <v>378</v>
      </c>
    </row>
    <row r="340" spans="1:9" ht="58" x14ac:dyDescent="0.35">
      <c r="A340" s="195">
        <v>2</v>
      </c>
      <c r="B340" s="195">
        <v>90</v>
      </c>
      <c r="C340" s="195" t="s">
        <v>725</v>
      </c>
      <c r="D340" s="195">
        <v>60</v>
      </c>
      <c r="E340" s="195" t="s">
        <v>373</v>
      </c>
      <c r="F340" s="71" t="s">
        <v>367</v>
      </c>
      <c r="G340" s="71" t="s">
        <v>720</v>
      </c>
      <c r="H340" s="71" t="s">
        <v>371</v>
      </c>
      <c r="I340" s="71" t="s">
        <v>380</v>
      </c>
    </row>
    <row r="341" spans="1:9" ht="58" x14ac:dyDescent="0.35">
      <c r="A341" s="195">
        <v>2</v>
      </c>
      <c r="B341" s="195">
        <v>91</v>
      </c>
      <c r="C341" s="195" t="s">
        <v>726</v>
      </c>
      <c r="D341" s="195">
        <v>0</v>
      </c>
      <c r="E341" s="195" t="s">
        <v>373</v>
      </c>
      <c r="F341" s="71" t="s">
        <v>367</v>
      </c>
      <c r="G341" s="71" t="s">
        <v>720</v>
      </c>
      <c r="H341" s="71" t="s">
        <v>371</v>
      </c>
      <c r="I341" s="71" t="s">
        <v>382</v>
      </c>
    </row>
    <row r="342" spans="1:9" ht="58" x14ac:dyDescent="0.35">
      <c r="A342" s="195">
        <v>2</v>
      </c>
      <c r="B342" s="195">
        <v>92</v>
      </c>
      <c r="C342" s="195" t="s">
        <v>727</v>
      </c>
      <c r="D342" s="64">
        <v>545</v>
      </c>
      <c r="E342" s="195" t="s">
        <v>373</v>
      </c>
      <c r="F342" s="71" t="s">
        <v>367</v>
      </c>
      <c r="G342" s="71" t="s">
        <v>720</v>
      </c>
      <c r="H342" s="71" t="s">
        <v>371</v>
      </c>
      <c r="I342" s="71" t="s">
        <v>384</v>
      </c>
    </row>
    <row r="343" spans="1:9" ht="58" x14ac:dyDescent="0.35">
      <c r="A343" s="195">
        <v>2</v>
      </c>
      <c r="B343" s="195">
        <v>93</v>
      </c>
      <c r="C343" s="195" t="s">
        <v>728</v>
      </c>
      <c r="D343" s="195">
        <v>60</v>
      </c>
      <c r="E343" s="195" t="s">
        <v>373</v>
      </c>
      <c r="F343" s="71" t="s">
        <v>367</v>
      </c>
      <c r="G343" s="71" t="s">
        <v>720</v>
      </c>
      <c r="H343" s="71" t="s">
        <v>371</v>
      </c>
      <c r="I343" s="71" t="s">
        <v>386</v>
      </c>
    </row>
    <row r="344" spans="1:9" ht="58" x14ac:dyDescent="0.35">
      <c r="A344" s="195">
        <v>2</v>
      </c>
      <c r="B344" s="195">
        <v>94</v>
      </c>
      <c r="C344" s="195" t="s">
        <v>729</v>
      </c>
      <c r="D344" s="195">
        <v>0</v>
      </c>
      <c r="E344" s="195" t="s">
        <v>366</v>
      </c>
      <c r="F344" s="71" t="s">
        <v>367</v>
      </c>
      <c r="G344" s="71" t="s">
        <v>720</v>
      </c>
      <c r="H344" s="71" t="s">
        <v>388</v>
      </c>
      <c r="I344" s="71" t="s">
        <v>364</v>
      </c>
    </row>
    <row r="345" spans="1:9" ht="58" x14ac:dyDescent="0.35">
      <c r="A345" s="195">
        <v>2</v>
      </c>
      <c r="B345" s="195">
        <v>95</v>
      </c>
      <c r="C345" s="195" t="s">
        <v>730</v>
      </c>
      <c r="D345" s="195">
        <v>0</v>
      </c>
      <c r="E345" s="195" t="s">
        <v>373</v>
      </c>
      <c r="F345" s="71" t="s">
        <v>367</v>
      </c>
      <c r="G345" s="71" t="s">
        <v>720</v>
      </c>
      <c r="H345" s="71" t="s">
        <v>388</v>
      </c>
      <c r="I345" s="71" t="s">
        <v>374</v>
      </c>
    </row>
    <row r="346" spans="1:9" ht="58" x14ac:dyDescent="0.35">
      <c r="A346" s="195">
        <v>2</v>
      </c>
      <c r="B346" s="195">
        <v>96</v>
      </c>
      <c r="C346" s="195" t="s">
        <v>731</v>
      </c>
      <c r="D346" s="195">
        <v>0</v>
      </c>
      <c r="E346" s="195" t="s">
        <v>373</v>
      </c>
      <c r="F346" s="71" t="s">
        <v>367</v>
      </c>
      <c r="G346" s="71" t="s">
        <v>720</v>
      </c>
      <c r="H346" s="71" t="s">
        <v>388</v>
      </c>
      <c r="I346" s="71" t="s">
        <v>376</v>
      </c>
    </row>
    <row r="347" spans="1:9" ht="58" x14ac:dyDescent="0.35">
      <c r="A347" s="195">
        <v>2</v>
      </c>
      <c r="B347" s="195">
        <v>97</v>
      </c>
      <c r="C347" s="195" t="s">
        <v>732</v>
      </c>
      <c r="D347" s="195">
        <v>0</v>
      </c>
      <c r="E347" s="195" t="s">
        <v>373</v>
      </c>
      <c r="F347" s="71" t="s">
        <v>367</v>
      </c>
      <c r="G347" s="71" t="s">
        <v>720</v>
      </c>
      <c r="H347" s="71" t="s">
        <v>388</v>
      </c>
      <c r="I347" s="71" t="s">
        <v>378</v>
      </c>
    </row>
    <row r="348" spans="1:9" ht="58" x14ac:dyDescent="0.35">
      <c r="A348" s="195">
        <v>2</v>
      </c>
      <c r="B348" s="195">
        <v>98</v>
      </c>
      <c r="C348" s="195" t="s">
        <v>733</v>
      </c>
      <c r="D348" s="195">
        <v>0</v>
      </c>
      <c r="E348" s="195" t="s">
        <v>373</v>
      </c>
      <c r="F348" s="71" t="s">
        <v>367</v>
      </c>
      <c r="G348" s="71" t="s">
        <v>720</v>
      </c>
      <c r="H348" s="71" t="s">
        <v>388</v>
      </c>
      <c r="I348" s="71" t="s">
        <v>380</v>
      </c>
    </row>
    <row r="349" spans="1:9" ht="58" x14ac:dyDescent="0.35">
      <c r="A349" s="195">
        <v>2</v>
      </c>
      <c r="B349" s="195">
        <v>99</v>
      </c>
      <c r="C349" s="195" t="s">
        <v>734</v>
      </c>
      <c r="D349" s="195">
        <v>0</v>
      </c>
      <c r="E349" s="195" t="s">
        <v>373</v>
      </c>
      <c r="F349" s="71" t="s">
        <v>367</v>
      </c>
      <c r="G349" s="71" t="s">
        <v>720</v>
      </c>
      <c r="H349" s="71" t="s">
        <v>388</v>
      </c>
      <c r="I349" s="71" t="s">
        <v>382</v>
      </c>
    </row>
    <row r="350" spans="1:9" ht="58" x14ac:dyDescent="0.35">
      <c r="A350" s="195">
        <v>2</v>
      </c>
      <c r="B350" s="195">
        <v>100</v>
      </c>
      <c r="C350" s="195" t="s">
        <v>735</v>
      </c>
      <c r="D350" s="195">
        <v>0</v>
      </c>
      <c r="E350" s="195" t="s">
        <v>373</v>
      </c>
      <c r="F350" s="71" t="s">
        <v>367</v>
      </c>
      <c r="G350" s="71" t="s">
        <v>720</v>
      </c>
      <c r="H350" s="71" t="s">
        <v>388</v>
      </c>
      <c r="I350" s="71" t="s">
        <v>384</v>
      </c>
    </row>
    <row r="351" spans="1:9" ht="58" x14ac:dyDescent="0.35">
      <c r="A351" s="195">
        <v>2</v>
      </c>
      <c r="B351" s="195">
        <v>101</v>
      </c>
      <c r="C351" s="195" t="s">
        <v>736</v>
      </c>
      <c r="D351" s="195">
        <v>0</v>
      </c>
      <c r="E351" s="195" t="s">
        <v>373</v>
      </c>
      <c r="F351" s="71" t="s">
        <v>367</v>
      </c>
      <c r="G351" s="71" t="s">
        <v>720</v>
      </c>
      <c r="H351" s="71" t="s">
        <v>388</v>
      </c>
      <c r="I351" s="71" t="s">
        <v>386</v>
      </c>
    </row>
    <row r="352" spans="1:9" ht="58" x14ac:dyDescent="0.35">
      <c r="A352" s="195">
        <v>2</v>
      </c>
      <c r="B352" s="195">
        <v>102</v>
      </c>
      <c r="C352" s="195" t="s">
        <v>737</v>
      </c>
      <c r="D352" s="195">
        <v>0</v>
      </c>
      <c r="E352" s="195" t="s">
        <v>366</v>
      </c>
      <c r="F352" s="71" t="s">
        <v>367</v>
      </c>
      <c r="G352" s="71" t="s">
        <v>720</v>
      </c>
      <c r="H352" s="71" t="s">
        <v>397</v>
      </c>
      <c r="I352" s="71" t="s">
        <v>364</v>
      </c>
    </row>
    <row r="353" spans="1:9" ht="58" x14ac:dyDescent="0.35">
      <c r="A353" s="195">
        <v>2</v>
      </c>
      <c r="B353" s="195">
        <v>103</v>
      </c>
      <c r="C353" s="195" t="s">
        <v>738</v>
      </c>
      <c r="D353" s="195">
        <v>0</v>
      </c>
      <c r="E353" s="195" t="s">
        <v>373</v>
      </c>
      <c r="F353" s="71" t="s">
        <v>367</v>
      </c>
      <c r="G353" s="71" t="s">
        <v>720</v>
      </c>
      <c r="H353" s="71" t="s">
        <v>397</v>
      </c>
      <c r="I353" s="71" t="s">
        <v>374</v>
      </c>
    </row>
    <row r="354" spans="1:9" ht="58" x14ac:dyDescent="0.35">
      <c r="A354" s="195">
        <v>2</v>
      </c>
      <c r="B354" s="195">
        <v>104</v>
      </c>
      <c r="C354" s="195" t="s">
        <v>739</v>
      </c>
      <c r="D354" s="195">
        <v>0</v>
      </c>
      <c r="E354" s="195" t="s">
        <v>373</v>
      </c>
      <c r="F354" s="71" t="s">
        <v>367</v>
      </c>
      <c r="G354" s="71" t="s">
        <v>720</v>
      </c>
      <c r="H354" s="71" t="s">
        <v>397</v>
      </c>
      <c r="I354" s="71" t="s">
        <v>376</v>
      </c>
    </row>
    <row r="355" spans="1:9" ht="58" x14ac:dyDescent="0.35">
      <c r="A355" s="195">
        <v>2</v>
      </c>
      <c r="B355" s="195">
        <v>105</v>
      </c>
      <c r="C355" s="195" t="s">
        <v>740</v>
      </c>
      <c r="D355" s="195">
        <v>0</v>
      </c>
      <c r="E355" s="195" t="s">
        <v>373</v>
      </c>
      <c r="F355" s="71" t="s">
        <v>367</v>
      </c>
      <c r="G355" s="71" t="s">
        <v>720</v>
      </c>
      <c r="H355" s="71" t="s">
        <v>397</v>
      </c>
      <c r="I355" s="71" t="s">
        <v>378</v>
      </c>
    </row>
    <row r="356" spans="1:9" ht="58" x14ac:dyDescent="0.35">
      <c r="A356" s="195">
        <v>2</v>
      </c>
      <c r="B356" s="195">
        <v>106</v>
      </c>
      <c r="C356" s="195" t="s">
        <v>741</v>
      </c>
      <c r="D356" s="195">
        <v>0</v>
      </c>
      <c r="E356" s="195" t="s">
        <v>373</v>
      </c>
      <c r="F356" s="71" t="s">
        <v>367</v>
      </c>
      <c r="G356" s="71" t="s">
        <v>720</v>
      </c>
      <c r="H356" s="71" t="s">
        <v>397</v>
      </c>
      <c r="I356" s="71" t="s">
        <v>380</v>
      </c>
    </row>
    <row r="357" spans="1:9" ht="58" x14ac:dyDescent="0.35">
      <c r="A357" s="195">
        <v>2</v>
      </c>
      <c r="B357" s="195">
        <v>107</v>
      </c>
      <c r="C357" s="195" t="s">
        <v>742</v>
      </c>
      <c r="D357" s="195">
        <v>0</v>
      </c>
      <c r="E357" s="195" t="s">
        <v>373</v>
      </c>
      <c r="F357" s="71" t="s">
        <v>367</v>
      </c>
      <c r="G357" s="71" t="s">
        <v>720</v>
      </c>
      <c r="H357" s="71" t="s">
        <v>397</v>
      </c>
      <c r="I357" s="71" t="s">
        <v>382</v>
      </c>
    </row>
    <row r="358" spans="1:9" ht="58" x14ac:dyDescent="0.35">
      <c r="A358" s="195">
        <v>2</v>
      </c>
      <c r="B358" s="195">
        <v>108</v>
      </c>
      <c r="C358" s="195" t="s">
        <v>743</v>
      </c>
      <c r="D358" s="195">
        <v>0</v>
      </c>
      <c r="E358" s="195" t="s">
        <v>373</v>
      </c>
      <c r="F358" s="71" t="s">
        <v>367</v>
      </c>
      <c r="G358" s="71" t="s">
        <v>720</v>
      </c>
      <c r="H358" s="71" t="s">
        <v>397</v>
      </c>
      <c r="I358" s="71" t="s">
        <v>384</v>
      </c>
    </row>
    <row r="359" spans="1:9" ht="58" x14ac:dyDescent="0.35">
      <c r="A359" s="195">
        <v>2</v>
      </c>
      <c r="B359" s="195">
        <v>109</v>
      </c>
      <c r="C359" s="195" t="s">
        <v>744</v>
      </c>
      <c r="D359" s="195">
        <v>0</v>
      </c>
      <c r="E359" s="195" t="s">
        <v>373</v>
      </c>
      <c r="F359" s="71" t="s">
        <v>367</v>
      </c>
      <c r="G359" s="71" t="s">
        <v>720</v>
      </c>
      <c r="H359" s="71" t="s">
        <v>397</v>
      </c>
      <c r="I359" s="71" t="s">
        <v>386</v>
      </c>
    </row>
    <row r="360" spans="1:9" ht="58" x14ac:dyDescent="0.35">
      <c r="A360" s="195">
        <v>2</v>
      </c>
      <c r="B360" s="195">
        <v>110</v>
      </c>
      <c r="C360" s="195" t="s">
        <v>745</v>
      </c>
      <c r="D360" s="195">
        <v>0</v>
      </c>
      <c r="E360" s="195" t="s">
        <v>366</v>
      </c>
      <c r="F360" s="71" t="s">
        <v>367</v>
      </c>
      <c r="G360" s="71" t="s">
        <v>720</v>
      </c>
      <c r="H360" s="71" t="s">
        <v>406</v>
      </c>
      <c r="I360" s="71" t="s">
        <v>364</v>
      </c>
    </row>
    <row r="361" spans="1:9" ht="58" x14ac:dyDescent="0.35">
      <c r="A361" s="195">
        <v>2</v>
      </c>
      <c r="B361" s="195">
        <v>111</v>
      </c>
      <c r="C361" s="195" t="s">
        <v>746</v>
      </c>
      <c r="D361" s="195">
        <v>0</v>
      </c>
      <c r="E361" s="195" t="s">
        <v>373</v>
      </c>
      <c r="F361" s="71" t="s">
        <v>367</v>
      </c>
      <c r="G361" s="71" t="s">
        <v>720</v>
      </c>
      <c r="H361" s="71" t="s">
        <v>406</v>
      </c>
      <c r="I361" s="71" t="s">
        <v>374</v>
      </c>
    </row>
    <row r="362" spans="1:9" ht="58" x14ac:dyDescent="0.35">
      <c r="A362" s="195">
        <v>2</v>
      </c>
      <c r="B362" s="195">
        <v>112</v>
      </c>
      <c r="C362" s="195" t="s">
        <v>747</v>
      </c>
      <c r="D362" s="195">
        <v>0</v>
      </c>
      <c r="E362" s="195" t="s">
        <v>373</v>
      </c>
      <c r="F362" s="71" t="s">
        <v>367</v>
      </c>
      <c r="G362" s="71" t="s">
        <v>720</v>
      </c>
      <c r="H362" s="71" t="s">
        <v>406</v>
      </c>
      <c r="I362" s="71" t="s">
        <v>376</v>
      </c>
    </row>
    <row r="363" spans="1:9" ht="58" x14ac:dyDescent="0.35">
      <c r="A363" s="195">
        <v>2</v>
      </c>
      <c r="B363" s="195">
        <v>113</v>
      </c>
      <c r="C363" s="195" t="s">
        <v>748</v>
      </c>
      <c r="D363" s="195">
        <v>0</v>
      </c>
      <c r="E363" s="195" t="s">
        <v>373</v>
      </c>
      <c r="F363" s="71" t="s">
        <v>367</v>
      </c>
      <c r="G363" s="71" t="s">
        <v>720</v>
      </c>
      <c r="H363" s="71" t="s">
        <v>406</v>
      </c>
      <c r="I363" s="71" t="s">
        <v>378</v>
      </c>
    </row>
    <row r="364" spans="1:9" ht="58" x14ac:dyDescent="0.35">
      <c r="A364" s="195">
        <v>2</v>
      </c>
      <c r="B364" s="195">
        <v>114</v>
      </c>
      <c r="C364" s="195" t="s">
        <v>749</v>
      </c>
      <c r="D364" s="195">
        <v>0</v>
      </c>
      <c r="E364" s="195" t="s">
        <v>373</v>
      </c>
      <c r="F364" s="71" t="s">
        <v>367</v>
      </c>
      <c r="G364" s="71" t="s">
        <v>720</v>
      </c>
      <c r="H364" s="71" t="s">
        <v>406</v>
      </c>
      <c r="I364" s="71" t="s">
        <v>380</v>
      </c>
    </row>
    <row r="365" spans="1:9" ht="58" x14ac:dyDescent="0.35">
      <c r="A365" s="195">
        <v>2</v>
      </c>
      <c r="B365" s="195">
        <v>115</v>
      </c>
      <c r="C365" s="195" t="s">
        <v>750</v>
      </c>
      <c r="D365" s="195">
        <v>0</v>
      </c>
      <c r="E365" s="195" t="s">
        <v>373</v>
      </c>
      <c r="F365" s="71" t="s">
        <v>367</v>
      </c>
      <c r="G365" s="71" t="s">
        <v>720</v>
      </c>
      <c r="H365" s="71" t="s">
        <v>406</v>
      </c>
      <c r="I365" s="71" t="s">
        <v>382</v>
      </c>
    </row>
    <row r="366" spans="1:9" ht="58" x14ac:dyDescent="0.35">
      <c r="A366" s="195">
        <v>2</v>
      </c>
      <c r="B366" s="195">
        <v>116</v>
      </c>
      <c r="C366" s="195" t="s">
        <v>751</v>
      </c>
      <c r="D366" s="195">
        <v>0</v>
      </c>
      <c r="E366" s="195" t="s">
        <v>373</v>
      </c>
      <c r="F366" s="71" t="s">
        <v>367</v>
      </c>
      <c r="G366" s="71" t="s">
        <v>720</v>
      </c>
      <c r="H366" s="71" t="s">
        <v>406</v>
      </c>
      <c r="I366" s="71" t="s">
        <v>384</v>
      </c>
    </row>
    <row r="367" spans="1:9" ht="58" x14ac:dyDescent="0.35">
      <c r="A367" s="195">
        <v>2</v>
      </c>
      <c r="B367" s="195">
        <v>117</v>
      </c>
      <c r="C367" s="195" t="s">
        <v>752</v>
      </c>
      <c r="D367" s="195">
        <v>0</v>
      </c>
      <c r="E367" s="195" t="s">
        <v>373</v>
      </c>
      <c r="F367" s="71" t="s">
        <v>367</v>
      </c>
      <c r="G367" s="71" t="s">
        <v>720</v>
      </c>
      <c r="H367" s="71" t="s">
        <v>406</v>
      </c>
      <c r="I367" s="71" t="s">
        <v>386</v>
      </c>
    </row>
    <row r="368" spans="1:9" ht="58" x14ac:dyDescent="0.35">
      <c r="A368" s="195">
        <v>2</v>
      </c>
      <c r="B368" s="195">
        <v>118</v>
      </c>
      <c r="C368" s="195" t="s">
        <v>753</v>
      </c>
      <c r="D368" s="195">
        <v>0</v>
      </c>
      <c r="E368" s="195" t="s">
        <v>366</v>
      </c>
      <c r="F368" s="71" t="s">
        <v>367</v>
      </c>
      <c r="G368" s="71" t="s">
        <v>720</v>
      </c>
      <c r="H368" s="71" t="s">
        <v>415</v>
      </c>
      <c r="I368" s="71" t="s">
        <v>364</v>
      </c>
    </row>
    <row r="369" spans="1:9" ht="58" x14ac:dyDescent="0.35">
      <c r="A369" s="195">
        <v>2</v>
      </c>
      <c r="B369" s="195">
        <v>119</v>
      </c>
      <c r="C369" s="195" t="s">
        <v>754</v>
      </c>
      <c r="D369" s="195">
        <v>0</v>
      </c>
      <c r="E369" s="195" t="s">
        <v>373</v>
      </c>
      <c r="F369" s="71" t="s">
        <v>367</v>
      </c>
      <c r="G369" s="71" t="s">
        <v>720</v>
      </c>
      <c r="H369" s="71" t="s">
        <v>415</v>
      </c>
      <c r="I369" s="71" t="s">
        <v>374</v>
      </c>
    </row>
    <row r="370" spans="1:9" ht="58" x14ac:dyDescent="0.35">
      <c r="A370" s="195">
        <v>2</v>
      </c>
      <c r="B370" s="195">
        <v>120</v>
      </c>
      <c r="C370" s="195" t="s">
        <v>755</v>
      </c>
      <c r="D370" s="195">
        <v>0</v>
      </c>
      <c r="E370" s="195" t="s">
        <v>373</v>
      </c>
      <c r="F370" s="71" t="s">
        <v>367</v>
      </c>
      <c r="G370" s="71" t="s">
        <v>720</v>
      </c>
      <c r="H370" s="71" t="s">
        <v>415</v>
      </c>
      <c r="I370" s="71" t="s">
        <v>376</v>
      </c>
    </row>
    <row r="371" spans="1:9" ht="58" x14ac:dyDescent="0.35">
      <c r="A371" s="195">
        <v>2</v>
      </c>
      <c r="B371" s="195">
        <v>121</v>
      </c>
      <c r="C371" s="195" t="s">
        <v>756</v>
      </c>
      <c r="D371" s="195">
        <v>0</v>
      </c>
      <c r="E371" s="195" t="s">
        <v>373</v>
      </c>
      <c r="F371" s="71" t="s">
        <v>367</v>
      </c>
      <c r="G371" s="71" t="s">
        <v>720</v>
      </c>
      <c r="H371" s="71" t="s">
        <v>415</v>
      </c>
      <c r="I371" s="71" t="s">
        <v>378</v>
      </c>
    </row>
    <row r="372" spans="1:9" ht="58" x14ac:dyDescent="0.35">
      <c r="A372" s="195">
        <v>2</v>
      </c>
      <c r="B372" s="195">
        <v>122</v>
      </c>
      <c r="C372" s="195" t="s">
        <v>757</v>
      </c>
      <c r="D372" s="195">
        <v>0</v>
      </c>
      <c r="E372" s="195" t="s">
        <v>373</v>
      </c>
      <c r="F372" s="71" t="s">
        <v>367</v>
      </c>
      <c r="G372" s="71" t="s">
        <v>720</v>
      </c>
      <c r="H372" s="71" t="s">
        <v>415</v>
      </c>
      <c r="I372" s="71" t="s">
        <v>380</v>
      </c>
    </row>
    <row r="373" spans="1:9" ht="58" x14ac:dyDescent="0.35">
      <c r="A373" s="195">
        <v>2</v>
      </c>
      <c r="B373" s="195">
        <v>123</v>
      </c>
      <c r="C373" s="195" t="s">
        <v>758</v>
      </c>
      <c r="D373" s="195">
        <v>0</v>
      </c>
      <c r="E373" s="195" t="s">
        <v>373</v>
      </c>
      <c r="F373" s="71" t="s">
        <v>367</v>
      </c>
      <c r="G373" s="71" t="s">
        <v>720</v>
      </c>
      <c r="H373" s="71" t="s">
        <v>415</v>
      </c>
      <c r="I373" s="71" t="s">
        <v>382</v>
      </c>
    </row>
    <row r="374" spans="1:9" ht="58" x14ac:dyDescent="0.35">
      <c r="A374" s="195">
        <v>2</v>
      </c>
      <c r="B374" s="195">
        <v>124</v>
      </c>
      <c r="C374" s="195" t="s">
        <v>759</v>
      </c>
      <c r="D374" s="195">
        <v>0</v>
      </c>
      <c r="E374" s="195" t="s">
        <v>373</v>
      </c>
      <c r="F374" s="71" t="s">
        <v>367</v>
      </c>
      <c r="G374" s="71" t="s">
        <v>720</v>
      </c>
      <c r="H374" s="71" t="s">
        <v>415</v>
      </c>
      <c r="I374" s="71" t="s">
        <v>384</v>
      </c>
    </row>
    <row r="375" spans="1:9" ht="58" x14ac:dyDescent="0.35">
      <c r="A375" s="195">
        <v>2</v>
      </c>
      <c r="B375" s="195">
        <v>125</v>
      </c>
      <c r="C375" s="195" t="s">
        <v>760</v>
      </c>
      <c r="D375" s="195">
        <v>0</v>
      </c>
      <c r="E375" s="195" t="s">
        <v>373</v>
      </c>
      <c r="F375" s="71" t="s">
        <v>367</v>
      </c>
      <c r="G375" s="71" t="s">
        <v>720</v>
      </c>
      <c r="H375" s="71" t="s">
        <v>415</v>
      </c>
      <c r="I375" s="71" t="s">
        <v>386</v>
      </c>
    </row>
    <row r="376" spans="1:9" x14ac:dyDescent="0.35">
      <c r="A376" s="195">
        <v>2</v>
      </c>
      <c r="B376" s="195">
        <v>126</v>
      </c>
      <c r="C376" s="195" t="s">
        <v>761</v>
      </c>
      <c r="D376" s="64">
        <v>582690</v>
      </c>
      <c r="E376" s="195" t="s">
        <v>366</v>
      </c>
      <c r="F376" s="71" t="s">
        <v>508</v>
      </c>
      <c r="G376" s="71" t="s">
        <v>633</v>
      </c>
      <c r="H376" s="71" t="s">
        <v>363</v>
      </c>
      <c r="I376" s="71" t="s">
        <v>364</v>
      </c>
    </row>
    <row r="377" spans="1:9" ht="87" x14ac:dyDescent="0.35">
      <c r="A377" s="195">
        <v>2</v>
      </c>
      <c r="B377" s="195">
        <v>127</v>
      </c>
      <c r="C377" s="195" t="s">
        <v>762</v>
      </c>
      <c r="D377" s="64">
        <v>174295</v>
      </c>
      <c r="E377" s="195" t="s">
        <v>366</v>
      </c>
      <c r="F377" s="71" t="s">
        <v>508</v>
      </c>
      <c r="G377" s="71" t="s">
        <v>636</v>
      </c>
      <c r="H377" s="71" t="s">
        <v>363</v>
      </c>
      <c r="I377" s="71" t="s">
        <v>364</v>
      </c>
    </row>
    <row r="378" spans="1:9" ht="87" x14ac:dyDescent="0.35">
      <c r="A378" s="195">
        <v>2</v>
      </c>
      <c r="B378" s="195">
        <v>128</v>
      </c>
      <c r="C378" s="195" t="s">
        <v>763</v>
      </c>
      <c r="D378" s="64">
        <v>122970</v>
      </c>
      <c r="E378" s="195" t="s">
        <v>366</v>
      </c>
      <c r="F378" s="71" t="s">
        <v>508</v>
      </c>
      <c r="G378" s="71" t="s">
        <v>636</v>
      </c>
      <c r="H378" s="71" t="s">
        <v>371</v>
      </c>
      <c r="I378" s="71" t="s">
        <v>364</v>
      </c>
    </row>
    <row r="379" spans="1:9" ht="87" x14ac:dyDescent="0.35">
      <c r="A379" s="195">
        <v>2</v>
      </c>
      <c r="B379" s="195">
        <v>129</v>
      </c>
      <c r="C379" s="195" t="s">
        <v>764</v>
      </c>
      <c r="D379" s="64">
        <v>24260</v>
      </c>
      <c r="E379" s="195" t="s">
        <v>373</v>
      </c>
      <c r="F379" s="71" t="s">
        <v>508</v>
      </c>
      <c r="G379" s="71" t="s">
        <v>636</v>
      </c>
      <c r="H379" s="71" t="s">
        <v>371</v>
      </c>
      <c r="I379" s="71" t="s">
        <v>374</v>
      </c>
    </row>
    <row r="380" spans="1:9" ht="87" x14ac:dyDescent="0.35">
      <c r="A380" s="195">
        <v>2</v>
      </c>
      <c r="B380" s="195">
        <v>130</v>
      </c>
      <c r="C380" s="195" t="s">
        <v>765</v>
      </c>
      <c r="D380" s="64">
        <v>62830</v>
      </c>
      <c r="E380" s="195" t="s">
        <v>373</v>
      </c>
      <c r="F380" s="71" t="s">
        <v>508</v>
      </c>
      <c r="G380" s="71" t="s">
        <v>636</v>
      </c>
      <c r="H380" s="71" t="s">
        <v>371</v>
      </c>
      <c r="I380" s="71" t="s">
        <v>376</v>
      </c>
    </row>
    <row r="381" spans="1:9" ht="87" x14ac:dyDescent="0.35">
      <c r="A381" s="195">
        <v>2</v>
      </c>
      <c r="B381" s="195">
        <v>131</v>
      </c>
      <c r="C381" s="195" t="s">
        <v>766</v>
      </c>
      <c r="D381" s="64">
        <v>6080</v>
      </c>
      <c r="E381" s="195" t="s">
        <v>373</v>
      </c>
      <c r="F381" s="71" t="s">
        <v>508</v>
      </c>
      <c r="G381" s="71" t="s">
        <v>636</v>
      </c>
      <c r="H381" s="71" t="s">
        <v>371</v>
      </c>
      <c r="I381" s="71" t="s">
        <v>378</v>
      </c>
    </row>
    <row r="382" spans="1:9" ht="87" x14ac:dyDescent="0.35">
      <c r="A382" s="195">
        <v>2</v>
      </c>
      <c r="B382" s="195">
        <v>132</v>
      </c>
      <c r="C382" s="195" t="s">
        <v>767</v>
      </c>
      <c r="D382" s="195">
        <v>235</v>
      </c>
      <c r="E382" s="195" t="s">
        <v>373</v>
      </c>
      <c r="F382" s="71" t="s">
        <v>508</v>
      </c>
      <c r="G382" s="71" t="s">
        <v>636</v>
      </c>
      <c r="H382" s="71" t="s">
        <v>371</v>
      </c>
      <c r="I382" s="71" t="s">
        <v>380</v>
      </c>
    </row>
    <row r="383" spans="1:9" ht="87" x14ac:dyDescent="0.35">
      <c r="A383" s="195">
        <v>2</v>
      </c>
      <c r="B383" s="195">
        <v>133</v>
      </c>
      <c r="C383" s="195" t="s">
        <v>768</v>
      </c>
      <c r="D383" s="195">
        <v>10</v>
      </c>
      <c r="E383" s="195" t="s">
        <v>373</v>
      </c>
      <c r="F383" s="71" t="s">
        <v>508</v>
      </c>
      <c r="G383" s="71" t="s">
        <v>636</v>
      </c>
      <c r="H383" s="71" t="s">
        <v>371</v>
      </c>
      <c r="I383" s="71" t="s">
        <v>382</v>
      </c>
    </row>
    <row r="384" spans="1:9" ht="87" x14ac:dyDescent="0.35">
      <c r="A384" s="195">
        <v>2</v>
      </c>
      <c r="B384" s="195">
        <v>134</v>
      </c>
      <c r="C384" s="195" t="s">
        <v>769</v>
      </c>
      <c r="D384" s="64">
        <v>27285</v>
      </c>
      <c r="E384" s="195" t="s">
        <v>373</v>
      </c>
      <c r="F384" s="71" t="s">
        <v>508</v>
      </c>
      <c r="G384" s="71" t="s">
        <v>636</v>
      </c>
      <c r="H384" s="71" t="s">
        <v>371</v>
      </c>
      <c r="I384" s="71" t="s">
        <v>384</v>
      </c>
    </row>
    <row r="385" spans="1:9" ht="87" x14ac:dyDescent="0.35">
      <c r="A385" s="195">
        <v>2</v>
      </c>
      <c r="B385" s="195">
        <v>135</v>
      </c>
      <c r="C385" s="195" t="s">
        <v>770</v>
      </c>
      <c r="D385" s="64">
        <v>2275</v>
      </c>
      <c r="E385" s="195" t="s">
        <v>373</v>
      </c>
      <c r="F385" s="71" t="s">
        <v>508</v>
      </c>
      <c r="G385" s="71" t="s">
        <v>636</v>
      </c>
      <c r="H385" s="71" t="s">
        <v>371</v>
      </c>
      <c r="I385" s="71" t="s">
        <v>386</v>
      </c>
    </row>
    <row r="386" spans="1:9" ht="87" x14ac:dyDescent="0.35">
      <c r="A386" s="195">
        <v>2</v>
      </c>
      <c r="B386" s="195">
        <v>136</v>
      </c>
      <c r="C386" s="195" t="s">
        <v>771</v>
      </c>
      <c r="D386" s="64">
        <v>31695</v>
      </c>
      <c r="E386" s="195" t="s">
        <v>366</v>
      </c>
      <c r="F386" s="71" t="s">
        <v>508</v>
      </c>
      <c r="G386" s="71" t="s">
        <v>636</v>
      </c>
      <c r="H386" s="71" t="s">
        <v>388</v>
      </c>
      <c r="I386" s="71" t="s">
        <v>364</v>
      </c>
    </row>
    <row r="387" spans="1:9" ht="87" x14ac:dyDescent="0.35">
      <c r="A387" s="195">
        <v>2</v>
      </c>
      <c r="B387" s="195">
        <v>137</v>
      </c>
      <c r="C387" s="195" t="s">
        <v>772</v>
      </c>
      <c r="D387" s="64">
        <v>9300</v>
      </c>
      <c r="E387" s="195" t="s">
        <v>373</v>
      </c>
      <c r="F387" s="71" t="s">
        <v>508</v>
      </c>
      <c r="G387" s="71" t="s">
        <v>636</v>
      </c>
      <c r="H387" s="71" t="s">
        <v>388</v>
      </c>
      <c r="I387" s="71" t="s">
        <v>374</v>
      </c>
    </row>
    <row r="388" spans="1:9" ht="87" x14ac:dyDescent="0.35">
      <c r="A388" s="195">
        <v>2</v>
      </c>
      <c r="B388" s="195">
        <v>138</v>
      </c>
      <c r="C388" s="195" t="s">
        <v>773</v>
      </c>
      <c r="D388" s="64">
        <v>11550</v>
      </c>
      <c r="E388" s="195" t="s">
        <v>373</v>
      </c>
      <c r="F388" s="71" t="s">
        <v>508</v>
      </c>
      <c r="G388" s="71" t="s">
        <v>636</v>
      </c>
      <c r="H388" s="71" t="s">
        <v>388</v>
      </c>
      <c r="I388" s="71" t="s">
        <v>376</v>
      </c>
    </row>
    <row r="389" spans="1:9" ht="87" x14ac:dyDescent="0.35">
      <c r="A389" s="195">
        <v>2</v>
      </c>
      <c r="B389" s="195">
        <v>139</v>
      </c>
      <c r="C389" s="195" t="s">
        <v>774</v>
      </c>
      <c r="D389" s="64">
        <v>1450</v>
      </c>
      <c r="E389" s="195" t="s">
        <v>373</v>
      </c>
      <c r="F389" s="71" t="s">
        <v>508</v>
      </c>
      <c r="G389" s="71" t="s">
        <v>636</v>
      </c>
      <c r="H389" s="71" t="s">
        <v>388</v>
      </c>
      <c r="I389" s="71" t="s">
        <v>378</v>
      </c>
    </row>
    <row r="390" spans="1:9" ht="87" x14ac:dyDescent="0.35">
      <c r="A390" s="195">
        <v>2</v>
      </c>
      <c r="B390" s="195">
        <v>140</v>
      </c>
      <c r="C390" s="195" t="s">
        <v>775</v>
      </c>
      <c r="D390" s="195">
        <v>95</v>
      </c>
      <c r="E390" s="195" t="s">
        <v>373</v>
      </c>
      <c r="F390" s="71" t="s">
        <v>508</v>
      </c>
      <c r="G390" s="71" t="s">
        <v>636</v>
      </c>
      <c r="H390" s="71" t="s">
        <v>388</v>
      </c>
      <c r="I390" s="71" t="s">
        <v>380</v>
      </c>
    </row>
    <row r="391" spans="1:9" ht="87" x14ac:dyDescent="0.35">
      <c r="A391" s="195">
        <v>2</v>
      </c>
      <c r="B391" s="195">
        <v>141</v>
      </c>
      <c r="C391" s="195" t="s">
        <v>776</v>
      </c>
      <c r="D391" s="195">
        <v>0</v>
      </c>
      <c r="E391" s="195" t="s">
        <v>373</v>
      </c>
      <c r="F391" s="71" t="s">
        <v>508</v>
      </c>
      <c r="G391" s="71" t="s">
        <v>636</v>
      </c>
      <c r="H391" s="71" t="s">
        <v>388</v>
      </c>
      <c r="I391" s="71" t="s">
        <v>382</v>
      </c>
    </row>
    <row r="392" spans="1:9" ht="87" x14ac:dyDescent="0.35">
      <c r="A392" s="195">
        <v>2</v>
      </c>
      <c r="B392" s="195">
        <v>142</v>
      </c>
      <c r="C392" s="195" t="s">
        <v>777</v>
      </c>
      <c r="D392" s="64">
        <v>8415</v>
      </c>
      <c r="E392" s="195" t="s">
        <v>373</v>
      </c>
      <c r="F392" s="71" t="s">
        <v>508</v>
      </c>
      <c r="G392" s="71" t="s">
        <v>636</v>
      </c>
      <c r="H392" s="71" t="s">
        <v>388</v>
      </c>
      <c r="I392" s="71" t="s">
        <v>384</v>
      </c>
    </row>
    <row r="393" spans="1:9" ht="87" x14ac:dyDescent="0.35">
      <c r="A393" s="195">
        <v>2</v>
      </c>
      <c r="B393" s="195">
        <v>143</v>
      </c>
      <c r="C393" s="195" t="s">
        <v>778</v>
      </c>
      <c r="D393" s="64">
        <v>885</v>
      </c>
      <c r="E393" s="195" t="s">
        <v>373</v>
      </c>
      <c r="F393" s="71" t="s">
        <v>508</v>
      </c>
      <c r="G393" s="71" t="s">
        <v>636</v>
      </c>
      <c r="H393" s="71" t="s">
        <v>388</v>
      </c>
      <c r="I393" s="71" t="s">
        <v>386</v>
      </c>
    </row>
    <row r="394" spans="1:9" ht="87" x14ac:dyDescent="0.35">
      <c r="A394" s="195">
        <v>2</v>
      </c>
      <c r="B394" s="195">
        <v>144</v>
      </c>
      <c r="C394" s="195" t="s">
        <v>779</v>
      </c>
      <c r="D394" s="64">
        <v>11900</v>
      </c>
      <c r="E394" s="195" t="s">
        <v>366</v>
      </c>
      <c r="F394" s="71" t="s">
        <v>508</v>
      </c>
      <c r="G394" s="71" t="s">
        <v>636</v>
      </c>
      <c r="H394" s="71" t="s">
        <v>397</v>
      </c>
      <c r="I394" s="71" t="s">
        <v>364</v>
      </c>
    </row>
    <row r="395" spans="1:9" ht="87" x14ac:dyDescent="0.35">
      <c r="A395" s="195">
        <v>2</v>
      </c>
      <c r="B395" s="195">
        <v>145</v>
      </c>
      <c r="C395" s="195" t="s">
        <v>780</v>
      </c>
      <c r="D395" s="64">
        <v>3855</v>
      </c>
      <c r="E395" s="195" t="s">
        <v>373</v>
      </c>
      <c r="F395" s="71" t="s">
        <v>508</v>
      </c>
      <c r="G395" s="71" t="s">
        <v>636</v>
      </c>
      <c r="H395" s="71" t="s">
        <v>397</v>
      </c>
      <c r="I395" s="71" t="s">
        <v>374</v>
      </c>
    </row>
    <row r="396" spans="1:9" ht="87" x14ac:dyDescent="0.35">
      <c r="A396" s="195">
        <v>2</v>
      </c>
      <c r="B396" s="195">
        <v>146</v>
      </c>
      <c r="C396" s="195" t="s">
        <v>781</v>
      </c>
      <c r="D396" s="64">
        <v>2800</v>
      </c>
      <c r="E396" s="195" t="s">
        <v>373</v>
      </c>
      <c r="F396" s="71" t="s">
        <v>508</v>
      </c>
      <c r="G396" s="71" t="s">
        <v>636</v>
      </c>
      <c r="H396" s="71" t="s">
        <v>397</v>
      </c>
      <c r="I396" s="71" t="s">
        <v>376</v>
      </c>
    </row>
    <row r="397" spans="1:9" ht="87" x14ac:dyDescent="0.35">
      <c r="A397" s="195">
        <v>2</v>
      </c>
      <c r="B397" s="195">
        <v>147</v>
      </c>
      <c r="C397" s="195" t="s">
        <v>782</v>
      </c>
      <c r="D397" s="64">
        <v>1070</v>
      </c>
      <c r="E397" s="195" t="s">
        <v>373</v>
      </c>
      <c r="F397" s="71" t="s">
        <v>508</v>
      </c>
      <c r="G397" s="71" t="s">
        <v>636</v>
      </c>
      <c r="H397" s="71" t="s">
        <v>397</v>
      </c>
      <c r="I397" s="71" t="s">
        <v>378</v>
      </c>
    </row>
    <row r="398" spans="1:9" ht="87" x14ac:dyDescent="0.35">
      <c r="A398" s="195">
        <v>2</v>
      </c>
      <c r="B398" s="195">
        <v>148</v>
      </c>
      <c r="C398" s="195" t="s">
        <v>783</v>
      </c>
      <c r="D398" s="195">
        <v>0</v>
      </c>
      <c r="E398" s="195" t="s">
        <v>373</v>
      </c>
      <c r="F398" s="71" t="s">
        <v>508</v>
      </c>
      <c r="G398" s="71" t="s">
        <v>636</v>
      </c>
      <c r="H398" s="71" t="s">
        <v>397</v>
      </c>
      <c r="I398" s="71" t="s">
        <v>380</v>
      </c>
    </row>
    <row r="399" spans="1:9" ht="87" x14ac:dyDescent="0.35">
      <c r="A399" s="195">
        <v>2</v>
      </c>
      <c r="B399" s="195">
        <v>149</v>
      </c>
      <c r="C399" s="195" t="s">
        <v>784</v>
      </c>
      <c r="D399" s="195">
        <v>0</v>
      </c>
      <c r="E399" s="195" t="s">
        <v>373</v>
      </c>
      <c r="F399" s="71" t="s">
        <v>508</v>
      </c>
      <c r="G399" s="71" t="s">
        <v>636</v>
      </c>
      <c r="H399" s="71" t="s">
        <v>397</v>
      </c>
      <c r="I399" s="71" t="s">
        <v>382</v>
      </c>
    </row>
    <row r="400" spans="1:9" ht="87" x14ac:dyDescent="0.35">
      <c r="A400" s="195">
        <v>2</v>
      </c>
      <c r="B400" s="195">
        <v>150</v>
      </c>
      <c r="C400" s="195" t="s">
        <v>785</v>
      </c>
      <c r="D400" s="64">
        <v>3965</v>
      </c>
      <c r="E400" s="195" t="s">
        <v>373</v>
      </c>
      <c r="F400" s="71" t="s">
        <v>508</v>
      </c>
      <c r="G400" s="71" t="s">
        <v>636</v>
      </c>
      <c r="H400" s="71" t="s">
        <v>397</v>
      </c>
      <c r="I400" s="71" t="s">
        <v>384</v>
      </c>
    </row>
    <row r="401" spans="1:9" ht="87" x14ac:dyDescent="0.35">
      <c r="A401" s="195">
        <v>2</v>
      </c>
      <c r="B401" s="195">
        <v>151</v>
      </c>
      <c r="C401" s="195" t="s">
        <v>786</v>
      </c>
      <c r="D401" s="195">
        <v>210</v>
      </c>
      <c r="E401" s="195" t="s">
        <v>373</v>
      </c>
      <c r="F401" s="71" t="s">
        <v>508</v>
      </c>
      <c r="G401" s="71" t="s">
        <v>636</v>
      </c>
      <c r="H401" s="71" t="s">
        <v>397</v>
      </c>
      <c r="I401" s="71" t="s">
        <v>386</v>
      </c>
    </row>
    <row r="402" spans="1:9" ht="87" x14ac:dyDescent="0.35">
      <c r="A402" s="195">
        <v>2</v>
      </c>
      <c r="B402" s="195">
        <v>152</v>
      </c>
      <c r="C402" s="195" t="s">
        <v>787</v>
      </c>
      <c r="D402" s="64">
        <v>2905</v>
      </c>
      <c r="E402" s="195" t="s">
        <v>366</v>
      </c>
      <c r="F402" s="71" t="s">
        <v>508</v>
      </c>
      <c r="G402" s="71" t="s">
        <v>636</v>
      </c>
      <c r="H402" s="71" t="s">
        <v>406</v>
      </c>
      <c r="I402" s="71" t="s">
        <v>364</v>
      </c>
    </row>
    <row r="403" spans="1:9" ht="87" x14ac:dyDescent="0.35">
      <c r="A403" s="195">
        <v>2</v>
      </c>
      <c r="B403" s="195">
        <v>153</v>
      </c>
      <c r="C403" s="195" t="s">
        <v>788</v>
      </c>
      <c r="D403" s="64">
        <v>920</v>
      </c>
      <c r="E403" s="195" t="s">
        <v>373</v>
      </c>
      <c r="F403" s="71" t="s">
        <v>508</v>
      </c>
      <c r="G403" s="71" t="s">
        <v>636</v>
      </c>
      <c r="H403" s="71" t="s">
        <v>406</v>
      </c>
      <c r="I403" s="71" t="s">
        <v>374</v>
      </c>
    </row>
    <row r="404" spans="1:9" ht="87" x14ac:dyDescent="0.35">
      <c r="A404" s="195">
        <v>2</v>
      </c>
      <c r="B404" s="195">
        <v>154</v>
      </c>
      <c r="C404" s="195" t="s">
        <v>789</v>
      </c>
      <c r="D404" s="195">
        <v>550</v>
      </c>
      <c r="E404" s="195" t="s">
        <v>373</v>
      </c>
      <c r="F404" s="71" t="s">
        <v>508</v>
      </c>
      <c r="G404" s="71" t="s">
        <v>636</v>
      </c>
      <c r="H404" s="71" t="s">
        <v>406</v>
      </c>
      <c r="I404" s="71" t="s">
        <v>376</v>
      </c>
    </row>
    <row r="405" spans="1:9" ht="87" x14ac:dyDescent="0.35">
      <c r="A405" s="195">
        <v>2</v>
      </c>
      <c r="B405" s="195">
        <v>155</v>
      </c>
      <c r="C405" s="195" t="s">
        <v>790</v>
      </c>
      <c r="D405" s="195">
        <v>575</v>
      </c>
      <c r="E405" s="195" t="s">
        <v>373</v>
      </c>
      <c r="F405" s="71" t="s">
        <v>508</v>
      </c>
      <c r="G405" s="71" t="s">
        <v>636</v>
      </c>
      <c r="H405" s="71" t="s">
        <v>406</v>
      </c>
      <c r="I405" s="71" t="s">
        <v>378</v>
      </c>
    </row>
    <row r="406" spans="1:9" ht="87" x14ac:dyDescent="0.35">
      <c r="A406" s="195">
        <v>2</v>
      </c>
      <c r="B406" s="195">
        <v>156</v>
      </c>
      <c r="C406" s="195" t="s">
        <v>791</v>
      </c>
      <c r="D406" s="195">
        <v>0</v>
      </c>
      <c r="E406" s="195" t="s">
        <v>373</v>
      </c>
      <c r="F406" s="71" t="s">
        <v>508</v>
      </c>
      <c r="G406" s="71" t="s">
        <v>636</v>
      </c>
      <c r="H406" s="71" t="s">
        <v>406</v>
      </c>
      <c r="I406" s="71" t="s">
        <v>380</v>
      </c>
    </row>
    <row r="407" spans="1:9" ht="87" x14ac:dyDescent="0.35">
      <c r="A407" s="195">
        <v>2</v>
      </c>
      <c r="B407" s="195">
        <v>157</v>
      </c>
      <c r="C407" s="195" t="s">
        <v>792</v>
      </c>
      <c r="D407" s="195">
        <v>0</v>
      </c>
      <c r="E407" s="195" t="s">
        <v>373</v>
      </c>
      <c r="F407" s="71" t="s">
        <v>508</v>
      </c>
      <c r="G407" s="71" t="s">
        <v>636</v>
      </c>
      <c r="H407" s="71" t="s">
        <v>406</v>
      </c>
      <c r="I407" s="71" t="s">
        <v>382</v>
      </c>
    </row>
    <row r="408" spans="1:9" ht="87" x14ac:dyDescent="0.35">
      <c r="A408" s="195">
        <v>2</v>
      </c>
      <c r="B408" s="195">
        <v>158</v>
      </c>
      <c r="C408" s="195" t="s">
        <v>793</v>
      </c>
      <c r="D408" s="64">
        <v>845</v>
      </c>
      <c r="E408" s="195" t="s">
        <v>373</v>
      </c>
      <c r="F408" s="71" t="s">
        <v>508</v>
      </c>
      <c r="G408" s="71" t="s">
        <v>636</v>
      </c>
      <c r="H408" s="71" t="s">
        <v>406</v>
      </c>
      <c r="I408" s="71" t="s">
        <v>384</v>
      </c>
    </row>
    <row r="409" spans="1:9" ht="87" x14ac:dyDescent="0.35">
      <c r="A409" s="195">
        <v>2</v>
      </c>
      <c r="B409" s="195">
        <v>159</v>
      </c>
      <c r="C409" s="195" t="s">
        <v>794</v>
      </c>
      <c r="D409" s="195">
        <v>15</v>
      </c>
      <c r="E409" s="195" t="s">
        <v>373</v>
      </c>
      <c r="F409" s="71" t="s">
        <v>508</v>
      </c>
      <c r="G409" s="71" t="s">
        <v>636</v>
      </c>
      <c r="H409" s="71" t="s">
        <v>406</v>
      </c>
      <c r="I409" s="71" t="s">
        <v>386</v>
      </c>
    </row>
    <row r="410" spans="1:9" ht="87" x14ac:dyDescent="0.35">
      <c r="A410" s="195">
        <v>2</v>
      </c>
      <c r="B410" s="195">
        <v>160</v>
      </c>
      <c r="C410" s="195" t="s">
        <v>795</v>
      </c>
      <c r="D410" s="64">
        <v>4830</v>
      </c>
      <c r="E410" s="195" t="s">
        <v>366</v>
      </c>
      <c r="F410" s="71" t="s">
        <v>508</v>
      </c>
      <c r="G410" s="71" t="s">
        <v>636</v>
      </c>
      <c r="H410" s="71" t="s">
        <v>415</v>
      </c>
      <c r="I410" s="71" t="s">
        <v>364</v>
      </c>
    </row>
    <row r="411" spans="1:9" ht="87" x14ac:dyDescent="0.35">
      <c r="A411" s="195">
        <v>2</v>
      </c>
      <c r="B411" s="195">
        <v>161</v>
      </c>
      <c r="C411" s="195" t="s">
        <v>796</v>
      </c>
      <c r="D411" s="64">
        <v>2105</v>
      </c>
      <c r="E411" s="195" t="s">
        <v>373</v>
      </c>
      <c r="F411" s="71" t="s">
        <v>508</v>
      </c>
      <c r="G411" s="71" t="s">
        <v>636</v>
      </c>
      <c r="H411" s="71" t="s">
        <v>415</v>
      </c>
      <c r="I411" s="71" t="s">
        <v>374</v>
      </c>
    </row>
    <row r="412" spans="1:9" ht="87" x14ac:dyDescent="0.35">
      <c r="A412" s="195">
        <v>2</v>
      </c>
      <c r="B412" s="195">
        <v>162</v>
      </c>
      <c r="C412" s="195" t="s">
        <v>797</v>
      </c>
      <c r="D412" s="64">
        <v>980</v>
      </c>
      <c r="E412" s="195" t="s">
        <v>373</v>
      </c>
      <c r="F412" s="71" t="s">
        <v>508</v>
      </c>
      <c r="G412" s="71" t="s">
        <v>636</v>
      </c>
      <c r="H412" s="71" t="s">
        <v>415</v>
      </c>
      <c r="I412" s="71" t="s">
        <v>376</v>
      </c>
    </row>
    <row r="413" spans="1:9" ht="87" x14ac:dyDescent="0.35">
      <c r="A413" s="195">
        <v>2</v>
      </c>
      <c r="B413" s="195">
        <v>163</v>
      </c>
      <c r="C413" s="195" t="s">
        <v>798</v>
      </c>
      <c r="D413" s="64">
        <v>610</v>
      </c>
      <c r="E413" s="195" t="s">
        <v>373</v>
      </c>
      <c r="F413" s="71" t="s">
        <v>508</v>
      </c>
      <c r="G413" s="71" t="s">
        <v>636</v>
      </c>
      <c r="H413" s="71" t="s">
        <v>415</v>
      </c>
      <c r="I413" s="71" t="s">
        <v>378</v>
      </c>
    </row>
    <row r="414" spans="1:9" ht="87" x14ac:dyDescent="0.35">
      <c r="A414" s="195">
        <v>2</v>
      </c>
      <c r="B414" s="195">
        <v>164</v>
      </c>
      <c r="C414" s="195" t="s">
        <v>799</v>
      </c>
      <c r="D414" s="195">
        <v>0</v>
      </c>
      <c r="E414" s="195" t="s">
        <v>373</v>
      </c>
      <c r="F414" s="71" t="s">
        <v>508</v>
      </c>
      <c r="G414" s="71" t="s">
        <v>636</v>
      </c>
      <c r="H414" s="71" t="s">
        <v>415</v>
      </c>
      <c r="I414" s="71" t="s">
        <v>380</v>
      </c>
    </row>
    <row r="415" spans="1:9" ht="87" x14ac:dyDescent="0.35">
      <c r="A415" s="195">
        <v>2</v>
      </c>
      <c r="B415" s="195">
        <v>165</v>
      </c>
      <c r="C415" s="195" t="s">
        <v>800</v>
      </c>
      <c r="D415" s="195">
        <v>0</v>
      </c>
      <c r="E415" s="195" t="s">
        <v>373</v>
      </c>
      <c r="F415" s="71" t="s">
        <v>508</v>
      </c>
      <c r="G415" s="71" t="s">
        <v>636</v>
      </c>
      <c r="H415" s="71" t="s">
        <v>415</v>
      </c>
      <c r="I415" s="71" t="s">
        <v>382</v>
      </c>
    </row>
    <row r="416" spans="1:9" ht="87" x14ac:dyDescent="0.35">
      <c r="A416" s="195">
        <v>2</v>
      </c>
      <c r="B416" s="195">
        <v>166</v>
      </c>
      <c r="C416" s="195" t="s">
        <v>801</v>
      </c>
      <c r="D416" s="64">
        <v>1105</v>
      </c>
      <c r="E416" s="195" t="s">
        <v>373</v>
      </c>
      <c r="F416" s="71" t="s">
        <v>508</v>
      </c>
      <c r="G416" s="71" t="s">
        <v>636</v>
      </c>
      <c r="H416" s="71" t="s">
        <v>415</v>
      </c>
      <c r="I416" s="71" t="s">
        <v>384</v>
      </c>
    </row>
    <row r="417" spans="1:9" ht="87" x14ac:dyDescent="0.35">
      <c r="A417" s="195">
        <v>2</v>
      </c>
      <c r="B417" s="195">
        <v>167</v>
      </c>
      <c r="C417" s="195" t="s">
        <v>802</v>
      </c>
      <c r="D417" s="195">
        <v>30</v>
      </c>
      <c r="E417" s="195" t="s">
        <v>373</v>
      </c>
      <c r="F417" s="71" t="s">
        <v>508</v>
      </c>
      <c r="G417" s="71" t="s">
        <v>636</v>
      </c>
      <c r="H417" s="71" t="s">
        <v>415</v>
      </c>
      <c r="I417" s="71" t="s">
        <v>386</v>
      </c>
    </row>
    <row r="418" spans="1:9" ht="43.5" x14ac:dyDescent="0.35">
      <c r="A418" s="195">
        <v>2</v>
      </c>
      <c r="B418" s="195">
        <v>168</v>
      </c>
      <c r="C418" s="195" t="s">
        <v>803</v>
      </c>
      <c r="D418" s="64">
        <v>387085</v>
      </c>
      <c r="E418" s="195" t="s">
        <v>366</v>
      </c>
      <c r="F418" s="71" t="s">
        <v>508</v>
      </c>
      <c r="G418" s="71" t="s">
        <v>678</v>
      </c>
      <c r="H418" s="71" t="s">
        <v>363</v>
      </c>
      <c r="I418" s="71" t="s">
        <v>364</v>
      </c>
    </row>
    <row r="419" spans="1:9" ht="43.5" x14ac:dyDescent="0.35">
      <c r="A419" s="195">
        <v>2</v>
      </c>
      <c r="B419" s="195">
        <v>169</v>
      </c>
      <c r="C419" s="195" t="s">
        <v>804</v>
      </c>
      <c r="D419" s="64">
        <v>47160</v>
      </c>
      <c r="E419" s="195" t="s">
        <v>366</v>
      </c>
      <c r="F419" s="71" t="s">
        <v>508</v>
      </c>
      <c r="G419" s="71" t="s">
        <v>678</v>
      </c>
      <c r="H419" s="71" t="s">
        <v>371</v>
      </c>
      <c r="I419" s="71" t="s">
        <v>364</v>
      </c>
    </row>
    <row r="420" spans="1:9" ht="43.5" x14ac:dyDescent="0.35">
      <c r="A420" s="195">
        <v>2</v>
      </c>
      <c r="B420" s="195">
        <v>170</v>
      </c>
      <c r="C420" s="195" t="s">
        <v>805</v>
      </c>
      <c r="D420" s="64">
        <v>7360</v>
      </c>
      <c r="E420" s="195" t="s">
        <v>373</v>
      </c>
      <c r="F420" s="71" t="s">
        <v>508</v>
      </c>
      <c r="G420" s="71" t="s">
        <v>678</v>
      </c>
      <c r="H420" s="71" t="s">
        <v>371</v>
      </c>
      <c r="I420" s="71" t="s">
        <v>374</v>
      </c>
    </row>
    <row r="421" spans="1:9" ht="43.5" x14ac:dyDescent="0.35">
      <c r="A421" s="195">
        <v>2</v>
      </c>
      <c r="B421" s="195">
        <v>171</v>
      </c>
      <c r="C421" s="195" t="s">
        <v>806</v>
      </c>
      <c r="D421" s="64">
        <v>25615</v>
      </c>
      <c r="E421" s="195" t="s">
        <v>373</v>
      </c>
      <c r="F421" s="71" t="s">
        <v>508</v>
      </c>
      <c r="G421" s="71" t="s">
        <v>678</v>
      </c>
      <c r="H421" s="71" t="s">
        <v>371</v>
      </c>
      <c r="I421" s="71" t="s">
        <v>376</v>
      </c>
    </row>
    <row r="422" spans="1:9" ht="43.5" x14ac:dyDescent="0.35">
      <c r="A422" s="195">
        <v>2</v>
      </c>
      <c r="B422" s="195">
        <v>172</v>
      </c>
      <c r="C422" s="195" t="s">
        <v>807</v>
      </c>
      <c r="D422" s="64">
        <v>2905</v>
      </c>
      <c r="E422" s="195" t="s">
        <v>373</v>
      </c>
      <c r="F422" s="71" t="s">
        <v>508</v>
      </c>
      <c r="G422" s="71" t="s">
        <v>678</v>
      </c>
      <c r="H422" s="71" t="s">
        <v>371</v>
      </c>
      <c r="I422" s="71" t="s">
        <v>378</v>
      </c>
    </row>
    <row r="423" spans="1:9" ht="43.5" x14ac:dyDescent="0.35">
      <c r="A423" s="195">
        <v>2</v>
      </c>
      <c r="B423" s="195">
        <v>173</v>
      </c>
      <c r="C423" s="195" t="s">
        <v>808</v>
      </c>
      <c r="D423" s="195">
        <v>60</v>
      </c>
      <c r="E423" s="195" t="s">
        <v>373</v>
      </c>
      <c r="F423" s="71" t="s">
        <v>508</v>
      </c>
      <c r="G423" s="71" t="s">
        <v>678</v>
      </c>
      <c r="H423" s="71" t="s">
        <v>371</v>
      </c>
      <c r="I423" s="71" t="s">
        <v>380</v>
      </c>
    </row>
    <row r="424" spans="1:9" ht="43.5" x14ac:dyDescent="0.35">
      <c r="A424" s="195">
        <v>2</v>
      </c>
      <c r="B424" s="195">
        <v>174</v>
      </c>
      <c r="C424" s="195" t="s">
        <v>809</v>
      </c>
      <c r="D424" s="195">
        <v>10</v>
      </c>
      <c r="E424" s="195" t="s">
        <v>373</v>
      </c>
      <c r="F424" s="71" t="s">
        <v>508</v>
      </c>
      <c r="G424" s="71" t="s">
        <v>678</v>
      </c>
      <c r="H424" s="71" t="s">
        <v>371</v>
      </c>
      <c r="I424" s="71" t="s">
        <v>382</v>
      </c>
    </row>
    <row r="425" spans="1:9" ht="43.5" x14ac:dyDescent="0.35">
      <c r="A425" s="195">
        <v>2</v>
      </c>
      <c r="B425" s="195">
        <v>175</v>
      </c>
      <c r="C425" s="195" t="s">
        <v>810</v>
      </c>
      <c r="D425" s="64">
        <v>10450</v>
      </c>
      <c r="E425" s="195" t="s">
        <v>373</v>
      </c>
      <c r="F425" s="71" t="s">
        <v>508</v>
      </c>
      <c r="G425" s="71" t="s">
        <v>678</v>
      </c>
      <c r="H425" s="71" t="s">
        <v>371</v>
      </c>
      <c r="I425" s="71" t="s">
        <v>384</v>
      </c>
    </row>
    <row r="426" spans="1:9" ht="43.5" x14ac:dyDescent="0.35">
      <c r="A426" s="195">
        <v>2</v>
      </c>
      <c r="B426" s="195">
        <v>176</v>
      </c>
      <c r="C426" s="195" t="s">
        <v>811</v>
      </c>
      <c r="D426" s="195">
        <v>765</v>
      </c>
      <c r="E426" s="195" t="s">
        <v>373</v>
      </c>
      <c r="F426" s="71" t="s">
        <v>508</v>
      </c>
      <c r="G426" s="71" t="s">
        <v>678</v>
      </c>
      <c r="H426" s="71" t="s">
        <v>371</v>
      </c>
      <c r="I426" s="71" t="s">
        <v>386</v>
      </c>
    </row>
    <row r="427" spans="1:9" ht="43.5" x14ac:dyDescent="0.35">
      <c r="A427" s="195">
        <v>2</v>
      </c>
      <c r="B427" s="195">
        <v>177</v>
      </c>
      <c r="C427" s="195" t="s">
        <v>812</v>
      </c>
      <c r="D427" s="64">
        <v>67690</v>
      </c>
      <c r="E427" s="195" t="s">
        <v>366</v>
      </c>
      <c r="F427" s="71" t="s">
        <v>508</v>
      </c>
      <c r="G427" s="71" t="s">
        <v>678</v>
      </c>
      <c r="H427" s="71" t="s">
        <v>388</v>
      </c>
      <c r="I427" s="71" t="s">
        <v>364</v>
      </c>
    </row>
    <row r="428" spans="1:9" ht="43.5" x14ac:dyDescent="0.35">
      <c r="A428" s="195">
        <v>2</v>
      </c>
      <c r="B428" s="195">
        <v>178</v>
      </c>
      <c r="C428" s="195" t="s">
        <v>813</v>
      </c>
      <c r="D428" s="64">
        <v>13490</v>
      </c>
      <c r="E428" s="195" t="s">
        <v>373</v>
      </c>
      <c r="F428" s="71" t="s">
        <v>508</v>
      </c>
      <c r="G428" s="71" t="s">
        <v>678</v>
      </c>
      <c r="H428" s="71" t="s">
        <v>388</v>
      </c>
      <c r="I428" s="71" t="s">
        <v>374</v>
      </c>
    </row>
    <row r="429" spans="1:9" ht="43.5" x14ac:dyDescent="0.35">
      <c r="A429" s="195">
        <v>2</v>
      </c>
      <c r="B429" s="195">
        <v>179</v>
      </c>
      <c r="C429" s="195" t="s">
        <v>814</v>
      </c>
      <c r="D429" s="64">
        <v>28485</v>
      </c>
      <c r="E429" s="195" t="s">
        <v>373</v>
      </c>
      <c r="F429" s="71" t="s">
        <v>508</v>
      </c>
      <c r="G429" s="71" t="s">
        <v>678</v>
      </c>
      <c r="H429" s="71" t="s">
        <v>388</v>
      </c>
      <c r="I429" s="71" t="s">
        <v>376</v>
      </c>
    </row>
    <row r="430" spans="1:9" ht="43.5" x14ac:dyDescent="0.35">
      <c r="A430" s="195">
        <v>2</v>
      </c>
      <c r="B430" s="195">
        <v>180</v>
      </c>
      <c r="C430" s="195" t="s">
        <v>815</v>
      </c>
      <c r="D430" s="64">
        <v>2370</v>
      </c>
      <c r="E430" s="195" t="s">
        <v>373</v>
      </c>
      <c r="F430" s="71" t="s">
        <v>508</v>
      </c>
      <c r="G430" s="71" t="s">
        <v>678</v>
      </c>
      <c r="H430" s="71" t="s">
        <v>388</v>
      </c>
      <c r="I430" s="71" t="s">
        <v>378</v>
      </c>
    </row>
    <row r="431" spans="1:9" ht="43.5" x14ac:dyDescent="0.35">
      <c r="A431" s="195">
        <v>2</v>
      </c>
      <c r="B431" s="195">
        <v>181</v>
      </c>
      <c r="C431" s="195" t="s">
        <v>816</v>
      </c>
      <c r="D431" s="195">
        <v>105</v>
      </c>
      <c r="E431" s="195" t="s">
        <v>373</v>
      </c>
      <c r="F431" s="71" t="s">
        <v>508</v>
      </c>
      <c r="G431" s="71" t="s">
        <v>678</v>
      </c>
      <c r="H431" s="71" t="s">
        <v>388</v>
      </c>
      <c r="I431" s="71" t="s">
        <v>380</v>
      </c>
    </row>
    <row r="432" spans="1:9" ht="43.5" x14ac:dyDescent="0.35">
      <c r="A432" s="195">
        <v>2</v>
      </c>
      <c r="B432" s="195">
        <v>182</v>
      </c>
      <c r="C432" s="195" t="s">
        <v>817</v>
      </c>
      <c r="D432" s="195">
        <v>0</v>
      </c>
      <c r="E432" s="195" t="s">
        <v>373</v>
      </c>
      <c r="F432" s="71" t="s">
        <v>508</v>
      </c>
      <c r="G432" s="71" t="s">
        <v>678</v>
      </c>
      <c r="H432" s="71" t="s">
        <v>388</v>
      </c>
      <c r="I432" s="71" t="s">
        <v>382</v>
      </c>
    </row>
    <row r="433" spans="1:9" ht="43.5" x14ac:dyDescent="0.35">
      <c r="A433" s="195">
        <v>2</v>
      </c>
      <c r="B433" s="195">
        <v>183</v>
      </c>
      <c r="C433" s="195" t="s">
        <v>818</v>
      </c>
      <c r="D433" s="64">
        <v>22305</v>
      </c>
      <c r="E433" s="195" t="s">
        <v>373</v>
      </c>
      <c r="F433" s="71" t="s">
        <v>508</v>
      </c>
      <c r="G433" s="71" t="s">
        <v>678</v>
      </c>
      <c r="H433" s="71" t="s">
        <v>388</v>
      </c>
      <c r="I433" s="71" t="s">
        <v>384</v>
      </c>
    </row>
    <row r="434" spans="1:9" ht="43.5" x14ac:dyDescent="0.35">
      <c r="A434" s="195">
        <v>2</v>
      </c>
      <c r="B434" s="195">
        <v>184</v>
      </c>
      <c r="C434" s="195" t="s">
        <v>819</v>
      </c>
      <c r="D434" s="64">
        <v>940</v>
      </c>
      <c r="E434" s="195" t="s">
        <v>373</v>
      </c>
      <c r="F434" s="71" t="s">
        <v>508</v>
      </c>
      <c r="G434" s="71" t="s">
        <v>678</v>
      </c>
      <c r="H434" s="71" t="s">
        <v>388</v>
      </c>
      <c r="I434" s="71" t="s">
        <v>386</v>
      </c>
    </row>
    <row r="435" spans="1:9" ht="43.5" x14ac:dyDescent="0.35">
      <c r="A435" s="195">
        <v>2</v>
      </c>
      <c r="B435" s="195">
        <v>185</v>
      </c>
      <c r="C435" s="195" t="s">
        <v>820</v>
      </c>
      <c r="D435" s="64">
        <v>87485</v>
      </c>
      <c r="E435" s="195" t="s">
        <v>366</v>
      </c>
      <c r="F435" s="71" t="s">
        <v>508</v>
      </c>
      <c r="G435" s="71" t="s">
        <v>678</v>
      </c>
      <c r="H435" s="71" t="s">
        <v>397</v>
      </c>
      <c r="I435" s="71" t="s">
        <v>364</v>
      </c>
    </row>
    <row r="436" spans="1:9" ht="43.5" x14ac:dyDescent="0.35">
      <c r="A436" s="195">
        <v>2</v>
      </c>
      <c r="B436" s="195">
        <v>186</v>
      </c>
      <c r="C436" s="195" t="s">
        <v>821</v>
      </c>
      <c r="D436" s="64">
        <v>29090</v>
      </c>
      <c r="E436" s="195" t="s">
        <v>373</v>
      </c>
      <c r="F436" s="71" t="s">
        <v>508</v>
      </c>
      <c r="G436" s="71" t="s">
        <v>678</v>
      </c>
      <c r="H436" s="71" t="s">
        <v>397</v>
      </c>
      <c r="I436" s="71" t="s">
        <v>374</v>
      </c>
    </row>
    <row r="437" spans="1:9" ht="43.5" x14ac:dyDescent="0.35">
      <c r="A437" s="195">
        <v>2</v>
      </c>
      <c r="B437" s="195">
        <v>187</v>
      </c>
      <c r="C437" s="195" t="s">
        <v>822</v>
      </c>
      <c r="D437" s="64">
        <v>30330</v>
      </c>
      <c r="E437" s="195" t="s">
        <v>373</v>
      </c>
      <c r="F437" s="71" t="s">
        <v>508</v>
      </c>
      <c r="G437" s="71" t="s">
        <v>678</v>
      </c>
      <c r="H437" s="71" t="s">
        <v>397</v>
      </c>
      <c r="I437" s="71" t="s">
        <v>376</v>
      </c>
    </row>
    <row r="438" spans="1:9" ht="43.5" x14ac:dyDescent="0.35">
      <c r="A438" s="195">
        <v>2</v>
      </c>
      <c r="B438" s="195">
        <v>188</v>
      </c>
      <c r="C438" s="195" t="s">
        <v>823</v>
      </c>
      <c r="D438" s="64">
        <v>3815</v>
      </c>
      <c r="E438" s="195" t="s">
        <v>373</v>
      </c>
      <c r="F438" s="71" t="s">
        <v>508</v>
      </c>
      <c r="G438" s="71" t="s">
        <v>678</v>
      </c>
      <c r="H438" s="71" t="s">
        <v>397</v>
      </c>
      <c r="I438" s="71" t="s">
        <v>378</v>
      </c>
    </row>
    <row r="439" spans="1:9" ht="43.5" x14ac:dyDescent="0.35">
      <c r="A439" s="195">
        <v>2</v>
      </c>
      <c r="B439" s="195">
        <v>189</v>
      </c>
      <c r="C439" s="195" t="s">
        <v>824</v>
      </c>
      <c r="D439" s="195">
        <v>345</v>
      </c>
      <c r="E439" s="195" t="s">
        <v>373</v>
      </c>
      <c r="F439" s="71" t="s">
        <v>508</v>
      </c>
      <c r="G439" s="71" t="s">
        <v>678</v>
      </c>
      <c r="H439" s="71" t="s">
        <v>397</v>
      </c>
      <c r="I439" s="71" t="s">
        <v>380</v>
      </c>
    </row>
    <row r="440" spans="1:9" ht="43.5" x14ac:dyDescent="0.35">
      <c r="A440" s="195">
        <v>2</v>
      </c>
      <c r="B440" s="195">
        <v>190</v>
      </c>
      <c r="C440" s="195" t="s">
        <v>825</v>
      </c>
      <c r="D440" s="195">
        <v>25</v>
      </c>
      <c r="E440" s="195" t="s">
        <v>373</v>
      </c>
      <c r="F440" s="71" t="s">
        <v>508</v>
      </c>
      <c r="G440" s="71" t="s">
        <v>678</v>
      </c>
      <c r="H440" s="71" t="s">
        <v>397</v>
      </c>
      <c r="I440" s="71" t="s">
        <v>382</v>
      </c>
    </row>
    <row r="441" spans="1:9" ht="43.5" x14ac:dyDescent="0.35">
      <c r="A441" s="195">
        <v>2</v>
      </c>
      <c r="B441" s="195">
        <v>191</v>
      </c>
      <c r="C441" s="195" t="s">
        <v>826</v>
      </c>
      <c r="D441" s="64">
        <v>22075</v>
      </c>
      <c r="E441" s="195" t="s">
        <v>373</v>
      </c>
      <c r="F441" s="71" t="s">
        <v>508</v>
      </c>
      <c r="G441" s="71" t="s">
        <v>678</v>
      </c>
      <c r="H441" s="71" t="s">
        <v>397</v>
      </c>
      <c r="I441" s="71" t="s">
        <v>384</v>
      </c>
    </row>
    <row r="442" spans="1:9" ht="43.5" x14ac:dyDescent="0.35">
      <c r="A442" s="195">
        <v>2</v>
      </c>
      <c r="B442" s="195">
        <v>192</v>
      </c>
      <c r="C442" s="195" t="s">
        <v>827</v>
      </c>
      <c r="D442" s="64">
        <v>1805</v>
      </c>
      <c r="E442" s="195" t="s">
        <v>373</v>
      </c>
      <c r="F442" s="71" t="s">
        <v>508</v>
      </c>
      <c r="G442" s="71" t="s">
        <v>678</v>
      </c>
      <c r="H442" s="71" t="s">
        <v>397</v>
      </c>
      <c r="I442" s="71" t="s">
        <v>386</v>
      </c>
    </row>
    <row r="443" spans="1:9" ht="43.5" x14ac:dyDescent="0.35">
      <c r="A443" s="195">
        <v>2</v>
      </c>
      <c r="B443" s="195">
        <v>193</v>
      </c>
      <c r="C443" s="195" t="s">
        <v>828</v>
      </c>
      <c r="D443" s="64">
        <v>42785</v>
      </c>
      <c r="E443" s="195" t="s">
        <v>366</v>
      </c>
      <c r="F443" s="71" t="s">
        <v>508</v>
      </c>
      <c r="G443" s="71" t="s">
        <v>678</v>
      </c>
      <c r="H443" s="71" t="s">
        <v>406</v>
      </c>
      <c r="I443" s="71" t="s">
        <v>364</v>
      </c>
    </row>
    <row r="444" spans="1:9" ht="43.5" x14ac:dyDescent="0.35">
      <c r="A444" s="195">
        <v>2</v>
      </c>
      <c r="B444" s="195">
        <v>194</v>
      </c>
      <c r="C444" s="195" t="s">
        <v>829</v>
      </c>
      <c r="D444" s="64">
        <v>19400</v>
      </c>
      <c r="E444" s="195" t="s">
        <v>373</v>
      </c>
      <c r="F444" s="71" t="s">
        <v>508</v>
      </c>
      <c r="G444" s="71" t="s">
        <v>678</v>
      </c>
      <c r="H444" s="71" t="s">
        <v>406</v>
      </c>
      <c r="I444" s="71" t="s">
        <v>374</v>
      </c>
    </row>
    <row r="445" spans="1:9" ht="43.5" x14ac:dyDescent="0.35">
      <c r="A445" s="195">
        <v>2</v>
      </c>
      <c r="B445" s="195">
        <v>195</v>
      </c>
      <c r="C445" s="195" t="s">
        <v>830</v>
      </c>
      <c r="D445" s="64">
        <v>11635</v>
      </c>
      <c r="E445" s="195" t="s">
        <v>373</v>
      </c>
      <c r="F445" s="71" t="s">
        <v>508</v>
      </c>
      <c r="G445" s="71" t="s">
        <v>678</v>
      </c>
      <c r="H445" s="71" t="s">
        <v>406</v>
      </c>
      <c r="I445" s="71" t="s">
        <v>376</v>
      </c>
    </row>
    <row r="446" spans="1:9" ht="43.5" x14ac:dyDescent="0.35">
      <c r="A446" s="195">
        <v>2</v>
      </c>
      <c r="B446" s="195">
        <v>196</v>
      </c>
      <c r="C446" s="195" t="s">
        <v>831</v>
      </c>
      <c r="D446" s="64">
        <v>2495</v>
      </c>
      <c r="E446" s="195" t="s">
        <v>373</v>
      </c>
      <c r="F446" s="71" t="s">
        <v>508</v>
      </c>
      <c r="G446" s="71" t="s">
        <v>678</v>
      </c>
      <c r="H446" s="71" t="s">
        <v>406</v>
      </c>
      <c r="I446" s="71" t="s">
        <v>378</v>
      </c>
    </row>
    <row r="447" spans="1:9" ht="43.5" x14ac:dyDescent="0.35">
      <c r="A447" s="195">
        <v>2</v>
      </c>
      <c r="B447" s="195">
        <v>197</v>
      </c>
      <c r="C447" s="195" t="s">
        <v>832</v>
      </c>
      <c r="D447" s="195">
        <v>0</v>
      </c>
      <c r="E447" s="195" t="s">
        <v>373</v>
      </c>
      <c r="F447" s="71" t="s">
        <v>508</v>
      </c>
      <c r="G447" s="71" t="s">
        <v>678</v>
      </c>
      <c r="H447" s="71" t="s">
        <v>406</v>
      </c>
      <c r="I447" s="71" t="s">
        <v>380</v>
      </c>
    </row>
    <row r="448" spans="1:9" ht="43.5" x14ac:dyDescent="0.35">
      <c r="A448" s="195">
        <v>2</v>
      </c>
      <c r="B448" s="195">
        <v>198</v>
      </c>
      <c r="C448" s="195" t="s">
        <v>833</v>
      </c>
      <c r="D448" s="195">
        <v>30</v>
      </c>
      <c r="E448" s="195" t="s">
        <v>373</v>
      </c>
      <c r="F448" s="71" t="s">
        <v>508</v>
      </c>
      <c r="G448" s="71" t="s">
        <v>678</v>
      </c>
      <c r="H448" s="71" t="s">
        <v>406</v>
      </c>
      <c r="I448" s="71" t="s">
        <v>382</v>
      </c>
    </row>
    <row r="449" spans="1:9" ht="43.5" x14ac:dyDescent="0.35">
      <c r="A449" s="195">
        <v>2</v>
      </c>
      <c r="B449" s="195">
        <v>199</v>
      </c>
      <c r="C449" s="195" t="s">
        <v>834</v>
      </c>
      <c r="D449" s="64">
        <v>8325</v>
      </c>
      <c r="E449" s="195" t="s">
        <v>373</v>
      </c>
      <c r="F449" s="71" t="s">
        <v>508</v>
      </c>
      <c r="G449" s="71" t="s">
        <v>678</v>
      </c>
      <c r="H449" s="71" t="s">
        <v>406</v>
      </c>
      <c r="I449" s="71" t="s">
        <v>384</v>
      </c>
    </row>
    <row r="450" spans="1:9" ht="43.5" x14ac:dyDescent="0.35">
      <c r="A450" s="195">
        <v>2</v>
      </c>
      <c r="B450" s="195">
        <v>200</v>
      </c>
      <c r="C450" s="195" t="s">
        <v>835</v>
      </c>
      <c r="D450" s="64">
        <v>900</v>
      </c>
      <c r="E450" s="195" t="s">
        <v>373</v>
      </c>
      <c r="F450" s="71" t="s">
        <v>508</v>
      </c>
      <c r="G450" s="71" t="s">
        <v>678</v>
      </c>
      <c r="H450" s="71" t="s">
        <v>406</v>
      </c>
      <c r="I450" s="71" t="s">
        <v>386</v>
      </c>
    </row>
    <row r="451" spans="1:9" ht="43.5" x14ac:dyDescent="0.35">
      <c r="A451" s="195">
        <v>2</v>
      </c>
      <c r="B451" s="195">
        <v>201</v>
      </c>
      <c r="C451" s="195" t="s">
        <v>836</v>
      </c>
      <c r="D451" s="64">
        <v>141955</v>
      </c>
      <c r="E451" s="195" t="s">
        <v>366</v>
      </c>
      <c r="F451" s="71" t="s">
        <v>508</v>
      </c>
      <c r="G451" s="71" t="s">
        <v>678</v>
      </c>
      <c r="H451" s="71" t="s">
        <v>415</v>
      </c>
      <c r="I451" s="71" t="s">
        <v>364</v>
      </c>
    </row>
    <row r="452" spans="1:9" ht="43.5" x14ac:dyDescent="0.35">
      <c r="A452" s="195">
        <v>2</v>
      </c>
      <c r="B452" s="195">
        <v>202</v>
      </c>
      <c r="C452" s="195" t="s">
        <v>837</v>
      </c>
      <c r="D452" s="64">
        <v>90290</v>
      </c>
      <c r="E452" s="195" t="s">
        <v>373</v>
      </c>
      <c r="F452" s="71" t="s">
        <v>508</v>
      </c>
      <c r="G452" s="71" t="s">
        <v>678</v>
      </c>
      <c r="H452" s="71" t="s">
        <v>415</v>
      </c>
      <c r="I452" s="71" t="s">
        <v>374</v>
      </c>
    </row>
    <row r="453" spans="1:9" ht="43.5" x14ac:dyDescent="0.35">
      <c r="A453" s="195">
        <v>2</v>
      </c>
      <c r="B453" s="195">
        <v>203</v>
      </c>
      <c r="C453" s="195" t="s">
        <v>838</v>
      </c>
      <c r="D453" s="64">
        <v>21715</v>
      </c>
      <c r="E453" s="195" t="s">
        <v>373</v>
      </c>
      <c r="F453" s="71" t="s">
        <v>508</v>
      </c>
      <c r="G453" s="71" t="s">
        <v>678</v>
      </c>
      <c r="H453" s="71" t="s">
        <v>415</v>
      </c>
      <c r="I453" s="71" t="s">
        <v>376</v>
      </c>
    </row>
    <row r="454" spans="1:9" ht="43.5" x14ac:dyDescent="0.35">
      <c r="A454" s="195">
        <v>2</v>
      </c>
      <c r="B454" s="195">
        <v>204</v>
      </c>
      <c r="C454" s="195" t="s">
        <v>839</v>
      </c>
      <c r="D454" s="64">
        <v>11230</v>
      </c>
      <c r="E454" s="195" t="s">
        <v>373</v>
      </c>
      <c r="F454" s="71" t="s">
        <v>508</v>
      </c>
      <c r="G454" s="71" t="s">
        <v>678</v>
      </c>
      <c r="H454" s="71" t="s">
        <v>415</v>
      </c>
      <c r="I454" s="71" t="s">
        <v>378</v>
      </c>
    </row>
    <row r="455" spans="1:9" ht="43.5" x14ac:dyDescent="0.35">
      <c r="A455" s="195">
        <v>2</v>
      </c>
      <c r="B455" s="195">
        <v>205</v>
      </c>
      <c r="C455" s="195" t="s">
        <v>840</v>
      </c>
      <c r="D455" s="195">
        <v>150</v>
      </c>
      <c r="E455" s="195" t="s">
        <v>373</v>
      </c>
      <c r="F455" s="71" t="s">
        <v>508</v>
      </c>
      <c r="G455" s="71" t="s">
        <v>678</v>
      </c>
      <c r="H455" s="71" t="s">
        <v>415</v>
      </c>
      <c r="I455" s="71" t="s">
        <v>380</v>
      </c>
    </row>
    <row r="456" spans="1:9" ht="43.5" x14ac:dyDescent="0.35">
      <c r="A456" s="195">
        <v>2</v>
      </c>
      <c r="B456" s="195">
        <v>206</v>
      </c>
      <c r="C456" s="195" t="s">
        <v>841</v>
      </c>
      <c r="D456" s="195">
        <v>30</v>
      </c>
      <c r="E456" s="195" t="s">
        <v>373</v>
      </c>
      <c r="F456" s="71" t="s">
        <v>508</v>
      </c>
      <c r="G456" s="71" t="s">
        <v>678</v>
      </c>
      <c r="H456" s="71" t="s">
        <v>415</v>
      </c>
      <c r="I456" s="71" t="s">
        <v>382</v>
      </c>
    </row>
    <row r="457" spans="1:9" ht="43.5" x14ac:dyDescent="0.35">
      <c r="A457" s="195">
        <v>2</v>
      </c>
      <c r="B457" s="195">
        <v>207</v>
      </c>
      <c r="C457" s="195" t="s">
        <v>842</v>
      </c>
      <c r="D457" s="64">
        <v>15645</v>
      </c>
      <c r="E457" s="195" t="s">
        <v>373</v>
      </c>
      <c r="F457" s="71" t="s">
        <v>508</v>
      </c>
      <c r="G457" s="71" t="s">
        <v>678</v>
      </c>
      <c r="H457" s="71" t="s">
        <v>415</v>
      </c>
      <c r="I457" s="71" t="s">
        <v>384</v>
      </c>
    </row>
    <row r="458" spans="1:9" ht="43.5" x14ac:dyDescent="0.35">
      <c r="A458" s="195">
        <v>2</v>
      </c>
      <c r="B458" s="195">
        <v>208</v>
      </c>
      <c r="C458" s="195" t="s">
        <v>843</v>
      </c>
      <c r="D458" s="64">
        <v>2900</v>
      </c>
      <c r="E458" s="195" t="s">
        <v>373</v>
      </c>
      <c r="F458" s="71" t="s">
        <v>508</v>
      </c>
      <c r="G458" s="71" t="s">
        <v>678</v>
      </c>
      <c r="H458" s="71" t="s">
        <v>415</v>
      </c>
      <c r="I458" s="71" t="s">
        <v>386</v>
      </c>
    </row>
    <row r="459" spans="1:9" ht="58" x14ac:dyDescent="0.35">
      <c r="A459" s="195">
        <v>2</v>
      </c>
      <c r="B459" s="195">
        <v>209</v>
      </c>
      <c r="C459" s="195" t="s">
        <v>844</v>
      </c>
      <c r="D459" s="64">
        <v>21310</v>
      </c>
      <c r="E459" s="195" t="s">
        <v>366</v>
      </c>
      <c r="F459" s="71" t="s">
        <v>508</v>
      </c>
      <c r="G459" s="71" t="s">
        <v>720</v>
      </c>
      <c r="H459" s="71" t="s">
        <v>363</v>
      </c>
      <c r="I459" s="71" t="s">
        <v>364</v>
      </c>
    </row>
    <row r="460" spans="1:9" ht="58" x14ac:dyDescent="0.35">
      <c r="A460" s="195">
        <v>2</v>
      </c>
      <c r="B460" s="195">
        <v>210</v>
      </c>
      <c r="C460" s="195" t="s">
        <v>845</v>
      </c>
      <c r="D460" s="64">
        <v>21310</v>
      </c>
      <c r="E460" s="195" t="s">
        <v>366</v>
      </c>
      <c r="F460" s="71" t="s">
        <v>508</v>
      </c>
      <c r="G460" s="71" t="s">
        <v>720</v>
      </c>
      <c r="H460" s="71" t="s">
        <v>371</v>
      </c>
      <c r="I460" s="71" t="s">
        <v>364</v>
      </c>
    </row>
    <row r="461" spans="1:9" ht="58" x14ac:dyDescent="0.35">
      <c r="A461" s="195">
        <v>2</v>
      </c>
      <c r="B461" s="195">
        <v>211</v>
      </c>
      <c r="C461" s="195" t="s">
        <v>846</v>
      </c>
      <c r="D461" s="64">
        <v>4295</v>
      </c>
      <c r="E461" s="195" t="s">
        <v>373</v>
      </c>
      <c r="F461" s="71" t="s">
        <v>508</v>
      </c>
      <c r="G461" s="71" t="s">
        <v>720</v>
      </c>
      <c r="H461" s="71" t="s">
        <v>371</v>
      </c>
      <c r="I461" s="71" t="s">
        <v>374</v>
      </c>
    </row>
    <row r="462" spans="1:9" ht="58" x14ac:dyDescent="0.35">
      <c r="A462" s="195">
        <v>2</v>
      </c>
      <c r="B462" s="195">
        <v>212</v>
      </c>
      <c r="C462" s="195" t="s">
        <v>847</v>
      </c>
      <c r="D462" s="64">
        <v>11755</v>
      </c>
      <c r="E462" s="195" t="s">
        <v>373</v>
      </c>
      <c r="F462" s="71" t="s">
        <v>508</v>
      </c>
      <c r="G462" s="71" t="s">
        <v>720</v>
      </c>
      <c r="H462" s="71" t="s">
        <v>371</v>
      </c>
      <c r="I462" s="71" t="s">
        <v>376</v>
      </c>
    </row>
    <row r="463" spans="1:9" ht="58" x14ac:dyDescent="0.35">
      <c r="A463" s="195">
        <v>2</v>
      </c>
      <c r="B463" s="195">
        <v>213</v>
      </c>
      <c r="C463" s="195" t="s">
        <v>848</v>
      </c>
      <c r="D463" s="64">
        <v>2295</v>
      </c>
      <c r="E463" s="195" t="s">
        <v>373</v>
      </c>
      <c r="F463" s="71" t="s">
        <v>508</v>
      </c>
      <c r="G463" s="71" t="s">
        <v>720</v>
      </c>
      <c r="H463" s="71" t="s">
        <v>371</v>
      </c>
      <c r="I463" s="71" t="s">
        <v>378</v>
      </c>
    </row>
    <row r="464" spans="1:9" ht="58" x14ac:dyDescent="0.35">
      <c r="A464" s="195">
        <v>2</v>
      </c>
      <c r="B464" s="195">
        <v>214</v>
      </c>
      <c r="C464" s="195" t="s">
        <v>849</v>
      </c>
      <c r="D464" s="195">
        <v>60</v>
      </c>
      <c r="E464" s="195" t="s">
        <v>373</v>
      </c>
      <c r="F464" s="71" t="s">
        <v>508</v>
      </c>
      <c r="G464" s="71" t="s">
        <v>720</v>
      </c>
      <c r="H464" s="71" t="s">
        <v>371</v>
      </c>
      <c r="I464" s="71" t="s">
        <v>380</v>
      </c>
    </row>
    <row r="465" spans="1:9" ht="58" x14ac:dyDescent="0.35">
      <c r="A465" s="195">
        <v>2</v>
      </c>
      <c r="B465" s="195">
        <v>215</v>
      </c>
      <c r="C465" s="195" t="s">
        <v>850</v>
      </c>
      <c r="D465" s="195">
        <v>10</v>
      </c>
      <c r="E465" s="195" t="s">
        <v>373</v>
      </c>
      <c r="F465" s="71" t="s">
        <v>508</v>
      </c>
      <c r="G465" s="71" t="s">
        <v>720</v>
      </c>
      <c r="H465" s="71" t="s">
        <v>371</v>
      </c>
      <c r="I465" s="71" t="s">
        <v>382</v>
      </c>
    </row>
    <row r="466" spans="1:9" ht="58" x14ac:dyDescent="0.35">
      <c r="A466" s="195">
        <v>2</v>
      </c>
      <c r="B466" s="195">
        <v>216</v>
      </c>
      <c r="C466" s="195" t="s">
        <v>851</v>
      </c>
      <c r="D466" s="64">
        <v>2475</v>
      </c>
      <c r="E466" s="195" t="s">
        <v>373</v>
      </c>
      <c r="F466" s="71" t="s">
        <v>508</v>
      </c>
      <c r="G466" s="71" t="s">
        <v>720</v>
      </c>
      <c r="H466" s="71" t="s">
        <v>371</v>
      </c>
      <c r="I466" s="71" t="s">
        <v>384</v>
      </c>
    </row>
    <row r="467" spans="1:9" ht="58" x14ac:dyDescent="0.35">
      <c r="A467" s="195">
        <v>2</v>
      </c>
      <c r="B467" s="195">
        <v>217</v>
      </c>
      <c r="C467" s="195" t="s">
        <v>852</v>
      </c>
      <c r="D467" s="195">
        <v>420</v>
      </c>
      <c r="E467" s="195" t="s">
        <v>373</v>
      </c>
      <c r="F467" s="71" t="s">
        <v>508</v>
      </c>
      <c r="G467" s="71" t="s">
        <v>720</v>
      </c>
      <c r="H467" s="71" t="s">
        <v>371</v>
      </c>
      <c r="I467" s="71" t="s">
        <v>386</v>
      </c>
    </row>
    <row r="468" spans="1:9" ht="58" x14ac:dyDescent="0.35">
      <c r="A468" s="195">
        <v>2</v>
      </c>
      <c r="B468" s="195">
        <v>218</v>
      </c>
      <c r="C468" s="195" t="s">
        <v>853</v>
      </c>
      <c r="D468" s="195">
        <v>0</v>
      </c>
      <c r="E468" s="195" t="s">
        <v>366</v>
      </c>
      <c r="F468" s="71" t="s">
        <v>508</v>
      </c>
      <c r="G468" s="71" t="s">
        <v>720</v>
      </c>
      <c r="H468" s="71" t="s">
        <v>388</v>
      </c>
      <c r="I468" s="71" t="s">
        <v>364</v>
      </c>
    </row>
    <row r="469" spans="1:9" ht="58" x14ac:dyDescent="0.35">
      <c r="A469" s="195">
        <v>2</v>
      </c>
      <c r="B469" s="195">
        <v>219</v>
      </c>
      <c r="C469" s="195" t="s">
        <v>854</v>
      </c>
      <c r="D469" s="195">
        <v>0</v>
      </c>
      <c r="E469" s="195" t="s">
        <v>373</v>
      </c>
      <c r="F469" s="71" t="s">
        <v>508</v>
      </c>
      <c r="G469" s="71" t="s">
        <v>720</v>
      </c>
      <c r="H469" s="71" t="s">
        <v>388</v>
      </c>
      <c r="I469" s="71" t="s">
        <v>374</v>
      </c>
    </row>
    <row r="470" spans="1:9" ht="58" x14ac:dyDescent="0.35">
      <c r="A470" s="195">
        <v>2</v>
      </c>
      <c r="B470" s="195">
        <v>220</v>
      </c>
      <c r="C470" s="195" t="s">
        <v>855</v>
      </c>
      <c r="D470" s="195">
        <v>0</v>
      </c>
      <c r="E470" s="195" t="s">
        <v>373</v>
      </c>
      <c r="F470" s="71" t="s">
        <v>508</v>
      </c>
      <c r="G470" s="71" t="s">
        <v>720</v>
      </c>
      <c r="H470" s="71" t="s">
        <v>388</v>
      </c>
      <c r="I470" s="71" t="s">
        <v>376</v>
      </c>
    </row>
    <row r="471" spans="1:9" ht="58" x14ac:dyDescent="0.35">
      <c r="A471" s="195">
        <v>2</v>
      </c>
      <c r="B471" s="195">
        <v>221</v>
      </c>
      <c r="C471" s="195" t="s">
        <v>856</v>
      </c>
      <c r="D471" s="195">
        <v>0</v>
      </c>
      <c r="E471" s="195" t="s">
        <v>373</v>
      </c>
      <c r="F471" s="71" t="s">
        <v>508</v>
      </c>
      <c r="G471" s="71" t="s">
        <v>720</v>
      </c>
      <c r="H471" s="71" t="s">
        <v>388</v>
      </c>
      <c r="I471" s="71" t="s">
        <v>378</v>
      </c>
    </row>
    <row r="472" spans="1:9" ht="58" x14ac:dyDescent="0.35">
      <c r="A472" s="195">
        <v>2</v>
      </c>
      <c r="B472" s="195">
        <v>222</v>
      </c>
      <c r="C472" s="195" t="s">
        <v>857</v>
      </c>
      <c r="D472" s="195">
        <v>0</v>
      </c>
      <c r="E472" s="195" t="s">
        <v>373</v>
      </c>
      <c r="F472" s="71" t="s">
        <v>508</v>
      </c>
      <c r="G472" s="71" t="s">
        <v>720</v>
      </c>
      <c r="H472" s="71" t="s">
        <v>388</v>
      </c>
      <c r="I472" s="71" t="s">
        <v>380</v>
      </c>
    </row>
    <row r="473" spans="1:9" ht="58" x14ac:dyDescent="0.35">
      <c r="A473" s="195">
        <v>2</v>
      </c>
      <c r="B473" s="195">
        <v>223</v>
      </c>
      <c r="C473" s="195" t="s">
        <v>858</v>
      </c>
      <c r="D473" s="195">
        <v>0</v>
      </c>
      <c r="E473" s="195" t="s">
        <v>373</v>
      </c>
      <c r="F473" s="71" t="s">
        <v>508</v>
      </c>
      <c r="G473" s="71" t="s">
        <v>720</v>
      </c>
      <c r="H473" s="71" t="s">
        <v>388</v>
      </c>
      <c r="I473" s="71" t="s">
        <v>382</v>
      </c>
    </row>
    <row r="474" spans="1:9" ht="58" x14ac:dyDescent="0.35">
      <c r="A474" s="195">
        <v>2</v>
      </c>
      <c r="B474" s="195">
        <v>224</v>
      </c>
      <c r="C474" s="195" t="s">
        <v>859</v>
      </c>
      <c r="D474" s="195">
        <v>0</v>
      </c>
      <c r="E474" s="195" t="s">
        <v>373</v>
      </c>
      <c r="F474" s="71" t="s">
        <v>508</v>
      </c>
      <c r="G474" s="71" t="s">
        <v>720</v>
      </c>
      <c r="H474" s="71" t="s">
        <v>388</v>
      </c>
      <c r="I474" s="71" t="s">
        <v>384</v>
      </c>
    </row>
    <row r="475" spans="1:9" ht="58" x14ac:dyDescent="0.35">
      <c r="A475" s="195">
        <v>2</v>
      </c>
      <c r="B475" s="195">
        <v>225</v>
      </c>
      <c r="C475" s="195" t="s">
        <v>860</v>
      </c>
      <c r="D475" s="195">
        <v>0</v>
      </c>
      <c r="E475" s="195" t="s">
        <v>373</v>
      </c>
      <c r="F475" s="71" t="s">
        <v>508</v>
      </c>
      <c r="G475" s="71" t="s">
        <v>720</v>
      </c>
      <c r="H475" s="71" t="s">
        <v>388</v>
      </c>
      <c r="I475" s="71" t="s">
        <v>386</v>
      </c>
    </row>
    <row r="476" spans="1:9" ht="58" x14ac:dyDescent="0.35">
      <c r="A476" s="195">
        <v>2</v>
      </c>
      <c r="B476" s="195">
        <v>226</v>
      </c>
      <c r="C476" s="195" t="s">
        <v>861</v>
      </c>
      <c r="D476" s="195">
        <v>0</v>
      </c>
      <c r="E476" s="195" t="s">
        <v>366</v>
      </c>
      <c r="F476" s="71" t="s">
        <v>508</v>
      </c>
      <c r="G476" s="71" t="s">
        <v>720</v>
      </c>
      <c r="H476" s="71" t="s">
        <v>397</v>
      </c>
      <c r="I476" s="71" t="s">
        <v>364</v>
      </c>
    </row>
    <row r="477" spans="1:9" ht="58" x14ac:dyDescent="0.35">
      <c r="A477" s="195">
        <v>2</v>
      </c>
      <c r="B477" s="195">
        <v>227</v>
      </c>
      <c r="C477" s="195" t="s">
        <v>862</v>
      </c>
      <c r="D477" s="195">
        <v>0</v>
      </c>
      <c r="E477" s="195" t="s">
        <v>373</v>
      </c>
      <c r="F477" s="71" t="s">
        <v>508</v>
      </c>
      <c r="G477" s="71" t="s">
        <v>720</v>
      </c>
      <c r="H477" s="71" t="s">
        <v>397</v>
      </c>
      <c r="I477" s="71" t="s">
        <v>374</v>
      </c>
    </row>
    <row r="478" spans="1:9" ht="58" x14ac:dyDescent="0.35">
      <c r="A478" s="195">
        <v>2</v>
      </c>
      <c r="B478" s="195">
        <v>228</v>
      </c>
      <c r="C478" s="195" t="s">
        <v>863</v>
      </c>
      <c r="D478" s="195">
        <v>0</v>
      </c>
      <c r="E478" s="195" t="s">
        <v>373</v>
      </c>
      <c r="F478" s="71" t="s">
        <v>508</v>
      </c>
      <c r="G478" s="71" t="s">
        <v>720</v>
      </c>
      <c r="H478" s="71" t="s">
        <v>397</v>
      </c>
      <c r="I478" s="71" t="s">
        <v>376</v>
      </c>
    </row>
    <row r="479" spans="1:9" ht="58" x14ac:dyDescent="0.35">
      <c r="A479" s="195">
        <v>2</v>
      </c>
      <c r="B479" s="195">
        <v>229</v>
      </c>
      <c r="C479" s="195" t="s">
        <v>864</v>
      </c>
      <c r="D479" s="195">
        <v>0</v>
      </c>
      <c r="E479" s="195" t="s">
        <v>373</v>
      </c>
      <c r="F479" s="71" t="s">
        <v>508</v>
      </c>
      <c r="G479" s="71" t="s">
        <v>720</v>
      </c>
      <c r="H479" s="71" t="s">
        <v>397</v>
      </c>
      <c r="I479" s="71" t="s">
        <v>378</v>
      </c>
    </row>
    <row r="480" spans="1:9" ht="58" x14ac:dyDescent="0.35">
      <c r="A480" s="195">
        <v>2</v>
      </c>
      <c r="B480" s="195">
        <v>230</v>
      </c>
      <c r="C480" s="195" t="s">
        <v>865</v>
      </c>
      <c r="D480" s="195">
        <v>0</v>
      </c>
      <c r="E480" s="195" t="s">
        <v>373</v>
      </c>
      <c r="F480" s="71" t="s">
        <v>508</v>
      </c>
      <c r="G480" s="71" t="s">
        <v>720</v>
      </c>
      <c r="H480" s="71" t="s">
        <v>397</v>
      </c>
      <c r="I480" s="71" t="s">
        <v>380</v>
      </c>
    </row>
    <row r="481" spans="1:9" ht="58" x14ac:dyDescent="0.35">
      <c r="A481" s="195">
        <v>2</v>
      </c>
      <c r="B481" s="195">
        <v>231</v>
      </c>
      <c r="C481" s="195" t="s">
        <v>866</v>
      </c>
      <c r="D481" s="195">
        <v>0</v>
      </c>
      <c r="E481" s="195" t="s">
        <v>373</v>
      </c>
      <c r="F481" s="71" t="s">
        <v>508</v>
      </c>
      <c r="G481" s="71" t="s">
        <v>720</v>
      </c>
      <c r="H481" s="71" t="s">
        <v>397</v>
      </c>
      <c r="I481" s="71" t="s">
        <v>382</v>
      </c>
    </row>
    <row r="482" spans="1:9" ht="58" x14ac:dyDescent="0.35">
      <c r="A482" s="195">
        <v>2</v>
      </c>
      <c r="B482" s="195">
        <v>232</v>
      </c>
      <c r="C482" s="195" t="s">
        <v>867</v>
      </c>
      <c r="D482" s="195">
        <v>0</v>
      </c>
      <c r="E482" s="195" t="s">
        <v>373</v>
      </c>
      <c r="F482" s="71" t="s">
        <v>508</v>
      </c>
      <c r="G482" s="71" t="s">
        <v>720</v>
      </c>
      <c r="H482" s="71" t="s">
        <v>397</v>
      </c>
      <c r="I482" s="71" t="s">
        <v>384</v>
      </c>
    </row>
    <row r="483" spans="1:9" ht="58" x14ac:dyDescent="0.35">
      <c r="A483" s="195">
        <v>2</v>
      </c>
      <c r="B483" s="195">
        <v>233</v>
      </c>
      <c r="C483" s="195" t="s">
        <v>868</v>
      </c>
      <c r="D483" s="195">
        <v>0</v>
      </c>
      <c r="E483" s="195" t="s">
        <v>373</v>
      </c>
      <c r="F483" s="71" t="s">
        <v>508</v>
      </c>
      <c r="G483" s="71" t="s">
        <v>720</v>
      </c>
      <c r="H483" s="71" t="s">
        <v>397</v>
      </c>
      <c r="I483" s="71" t="s">
        <v>386</v>
      </c>
    </row>
    <row r="484" spans="1:9" ht="58" x14ac:dyDescent="0.35">
      <c r="A484" s="195">
        <v>2</v>
      </c>
      <c r="B484" s="195">
        <v>234</v>
      </c>
      <c r="C484" s="195" t="s">
        <v>869</v>
      </c>
      <c r="D484" s="195">
        <v>0</v>
      </c>
      <c r="E484" s="195" t="s">
        <v>366</v>
      </c>
      <c r="F484" s="71" t="s">
        <v>508</v>
      </c>
      <c r="G484" s="71" t="s">
        <v>720</v>
      </c>
      <c r="H484" s="71" t="s">
        <v>406</v>
      </c>
      <c r="I484" s="71" t="s">
        <v>364</v>
      </c>
    </row>
    <row r="485" spans="1:9" ht="58" x14ac:dyDescent="0.35">
      <c r="A485" s="195">
        <v>2</v>
      </c>
      <c r="B485" s="195">
        <v>235</v>
      </c>
      <c r="C485" s="195" t="s">
        <v>870</v>
      </c>
      <c r="D485" s="195">
        <v>0</v>
      </c>
      <c r="E485" s="195" t="s">
        <v>373</v>
      </c>
      <c r="F485" s="71" t="s">
        <v>508</v>
      </c>
      <c r="G485" s="71" t="s">
        <v>720</v>
      </c>
      <c r="H485" s="71" t="s">
        <v>406</v>
      </c>
      <c r="I485" s="71" t="s">
        <v>374</v>
      </c>
    </row>
    <row r="486" spans="1:9" ht="58" x14ac:dyDescent="0.35">
      <c r="A486" s="195">
        <v>2</v>
      </c>
      <c r="B486" s="195">
        <v>236</v>
      </c>
      <c r="C486" s="195" t="s">
        <v>871</v>
      </c>
      <c r="D486" s="195">
        <v>0</v>
      </c>
      <c r="E486" s="195" t="s">
        <v>373</v>
      </c>
      <c r="F486" s="71" t="s">
        <v>508</v>
      </c>
      <c r="G486" s="71" t="s">
        <v>720</v>
      </c>
      <c r="H486" s="71" t="s">
        <v>406</v>
      </c>
      <c r="I486" s="71" t="s">
        <v>376</v>
      </c>
    </row>
    <row r="487" spans="1:9" ht="58" x14ac:dyDescent="0.35">
      <c r="A487" s="195">
        <v>2</v>
      </c>
      <c r="B487" s="195">
        <v>237</v>
      </c>
      <c r="C487" s="195" t="s">
        <v>872</v>
      </c>
      <c r="D487" s="195">
        <v>0</v>
      </c>
      <c r="E487" s="195" t="s">
        <v>373</v>
      </c>
      <c r="F487" s="71" t="s">
        <v>508</v>
      </c>
      <c r="G487" s="71" t="s">
        <v>720</v>
      </c>
      <c r="H487" s="71" t="s">
        <v>406</v>
      </c>
      <c r="I487" s="71" t="s">
        <v>378</v>
      </c>
    </row>
    <row r="488" spans="1:9" ht="58" x14ac:dyDescent="0.35">
      <c r="A488" s="195">
        <v>2</v>
      </c>
      <c r="B488" s="195">
        <v>238</v>
      </c>
      <c r="C488" s="195" t="s">
        <v>873</v>
      </c>
      <c r="D488" s="195">
        <v>0</v>
      </c>
      <c r="E488" s="195" t="s">
        <v>373</v>
      </c>
      <c r="F488" s="71" t="s">
        <v>508</v>
      </c>
      <c r="G488" s="71" t="s">
        <v>720</v>
      </c>
      <c r="H488" s="71" t="s">
        <v>406</v>
      </c>
      <c r="I488" s="71" t="s">
        <v>380</v>
      </c>
    </row>
    <row r="489" spans="1:9" ht="58" x14ac:dyDescent="0.35">
      <c r="A489" s="195">
        <v>2</v>
      </c>
      <c r="B489" s="195">
        <v>239</v>
      </c>
      <c r="C489" s="195" t="s">
        <v>874</v>
      </c>
      <c r="D489" s="195">
        <v>0</v>
      </c>
      <c r="E489" s="195" t="s">
        <v>373</v>
      </c>
      <c r="F489" s="71" t="s">
        <v>508</v>
      </c>
      <c r="G489" s="71" t="s">
        <v>720</v>
      </c>
      <c r="H489" s="71" t="s">
        <v>406</v>
      </c>
      <c r="I489" s="71" t="s">
        <v>382</v>
      </c>
    </row>
    <row r="490" spans="1:9" ht="58" x14ac:dyDescent="0.35">
      <c r="A490" s="195">
        <v>2</v>
      </c>
      <c r="B490" s="195">
        <v>240</v>
      </c>
      <c r="C490" s="195" t="s">
        <v>875</v>
      </c>
      <c r="D490" s="195">
        <v>0</v>
      </c>
      <c r="E490" s="195" t="s">
        <v>373</v>
      </c>
      <c r="F490" s="71" t="s">
        <v>508</v>
      </c>
      <c r="G490" s="71" t="s">
        <v>720</v>
      </c>
      <c r="H490" s="71" t="s">
        <v>406</v>
      </c>
      <c r="I490" s="71" t="s">
        <v>384</v>
      </c>
    </row>
    <row r="491" spans="1:9" ht="58" x14ac:dyDescent="0.35">
      <c r="A491" s="195">
        <v>2</v>
      </c>
      <c r="B491" s="195">
        <v>241</v>
      </c>
      <c r="C491" s="195" t="s">
        <v>876</v>
      </c>
      <c r="D491" s="195">
        <v>0</v>
      </c>
      <c r="E491" s="195" t="s">
        <v>373</v>
      </c>
      <c r="F491" s="71" t="s">
        <v>508</v>
      </c>
      <c r="G491" s="71" t="s">
        <v>720</v>
      </c>
      <c r="H491" s="71" t="s">
        <v>406</v>
      </c>
      <c r="I491" s="71" t="s">
        <v>386</v>
      </c>
    </row>
    <row r="492" spans="1:9" ht="58" x14ac:dyDescent="0.35">
      <c r="A492" s="195">
        <v>2</v>
      </c>
      <c r="B492" s="195">
        <v>242</v>
      </c>
      <c r="C492" s="195" t="s">
        <v>877</v>
      </c>
      <c r="D492" s="195">
        <v>0</v>
      </c>
      <c r="E492" s="195" t="s">
        <v>366</v>
      </c>
      <c r="F492" s="71" t="s">
        <v>508</v>
      </c>
      <c r="G492" s="71" t="s">
        <v>720</v>
      </c>
      <c r="H492" s="71" t="s">
        <v>415</v>
      </c>
      <c r="I492" s="71" t="s">
        <v>364</v>
      </c>
    </row>
    <row r="493" spans="1:9" ht="58" x14ac:dyDescent="0.35">
      <c r="A493" s="195">
        <v>2</v>
      </c>
      <c r="B493" s="195">
        <v>243</v>
      </c>
      <c r="C493" s="195" t="s">
        <v>878</v>
      </c>
      <c r="D493" s="195">
        <v>0</v>
      </c>
      <c r="E493" s="195" t="s">
        <v>373</v>
      </c>
      <c r="F493" s="71" t="s">
        <v>508</v>
      </c>
      <c r="G493" s="71" t="s">
        <v>720</v>
      </c>
      <c r="H493" s="71" t="s">
        <v>415</v>
      </c>
      <c r="I493" s="71" t="s">
        <v>374</v>
      </c>
    </row>
    <row r="494" spans="1:9" ht="58" x14ac:dyDescent="0.35">
      <c r="A494" s="195">
        <v>2</v>
      </c>
      <c r="B494" s="195">
        <v>244</v>
      </c>
      <c r="C494" s="195" t="s">
        <v>879</v>
      </c>
      <c r="D494" s="195">
        <v>0</v>
      </c>
      <c r="E494" s="195" t="s">
        <v>373</v>
      </c>
      <c r="F494" s="71" t="s">
        <v>508</v>
      </c>
      <c r="G494" s="71" t="s">
        <v>720</v>
      </c>
      <c r="H494" s="71" t="s">
        <v>415</v>
      </c>
      <c r="I494" s="71" t="s">
        <v>376</v>
      </c>
    </row>
    <row r="495" spans="1:9" ht="58" x14ac:dyDescent="0.35">
      <c r="A495" s="195">
        <v>2</v>
      </c>
      <c r="B495" s="195">
        <v>245</v>
      </c>
      <c r="C495" s="195" t="s">
        <v>880</v>
      </c>
      <c r="D495" s="195">
        <v>0</v>
      </c>
      <c r="E495" s="195" t="s">
        <v>373</v>
      </c>
      <c r="F495" s="71" t="s">
        <v>508</v>
      </c>
      <c r="G495" s="71" t="s">
        <v>720</v>
      </c>
      <c r="H495" s="71" t="s">
        <v>415</v>
      </c>
      <c r="I495" s="71" t="s">
        <v>378</v>
      </c>
    </row>
    <row r="496" spans="1:9" ht="58" x14ac:dyDescent="0.35">
      <c r="A496" s="195">
        <v>2</v>
      </c>
      <c r="B496" s="195">
        <v>246</v>
      </c>
      <c r="C496" s="195" t="s">
        <v>881</v>
      </c>
      <c r="D496" s="195">
        <v>0</v>
      </c>
      <c r="E496" s="195" t="s">
        <v>373</v>
      </c>
      <c r="F496" s="71" t="s">
        <v>508</v>
      </c>
      <c r="G496" s="71" t="s">
        <v>720</v>
      </c>
      <c r="H496" s="71" t="s">
        <v>415</v>
      </c>
      <c r="I496" s="71" t="s">
        <v>380</v>
      </c>
    </row>
    <row r="497" spans="1:9" ht="58" x14ac:dyDescent="0.35">
      <c r="A497" s="195">
        <v>2</v>
      </c>
      <c r="B497" s="195">
        <v>247</v>
      </c>
      <c r="C497" s="195" t="s">
        <v>882</v>
      </c>
      <c r="D497" s="195">
        <v>0</v>
      </c>
      <c r="E497" s="195" t="s">
        <v>373</v>
      </c>
      <c r="F497" s="71" t="s">
        <v>508</v>
      </c>
      <c r="G497" s="71" t="s">
        <v>720</v>
      </c>
      <c r="H497" s="71" t="s">
        <v>415</v>
      </c>
      <c r="I497" s="71" t="s">
        <v>382</v>
      </c>
    </row>
    <row r="498" spans="1:9" ht="58" x14ac:dyDescent="0.35">
      <c r="A498" s="195">
        <v>2</v>
      </c>
      <c r="B498" s="195">
        <v>248</v>
      </c>
      <c r="C498" s="195" t="s">
        <v>883</v>
      </c>
      <c r="D498" s="195">
        <v>0</v>
      </c>
      <c r="E498" s="195" t="s">
        <v>373</v>
      </c>
      <c r="F498" s="71" t="s">
        <v>508</v>
      </c>
      <c r="G498" s="71" t="s">
        <v>720</v>
      </c>
      <c r="H498" s="71" t="s">
        <v>415</v>
      </c>
      <c r="I498" s="71" t="s">
        <v>384</v>
      </c>
    </row>
    <row r="499" spans="1:9" ht="58" x14ac:dyDescent="0.35">
      <c r="A499" s="195">
        <v>2</v>
      </c>
      <c r="B499" s="195">
        <v>249</v>
      </c>
      <c r="C499" s="195" t="s">
        <v>884</v>
      </c>
      <c r="D499" s="195">
        <v>0</v>
      </c>
      <c r="E499" s="195" t="s">
        <v>373</v>
      </c>
      <c r="F499" s="71" t="s">
        <v>508</v>
      </c>
      <c r="G499" s="71" t="s">
        <v>720</v>
      </c>
      <c r="H499" s="71" t="s">
        <v>415</v>
      </c>
      <c r="I499" s="71" t="s">
        <v>386</v>
      </c>
    </row>
    <row r="500" spans="1:9" ht="29" x14ac:dyDescent="0.35">
      <c r="A500" s="195">
        <v>3</v>
      </c>
      <c r="B500" s="195">
        <v>1</v>
      </c>
      <c r="C500" s="195" t="s">
        <v>885</v>
      </c>
      <c r="D500" s="64">
        <v>1042580</v>
      </c>
      <c r="E500" s="195" t="s">
        <v>26</v>
      </c>
      <c r="F500" s="71" t="s">
        <v>886</v>
      </c>
      <c r="G500" s="71" t="s">
        <v>887</v>
      </c>
      <c r="H500" s="71" t="s">
        <v>363</v>
      </c>
    </row>
    <row r="501" spans="1:9" ht="29" x14ac:dyDescent="0.35">
      <c r="A501" s="195">
        <v>3</v>
      </c>
      <c r="B501" s="195">
        <v>2</v>
      </c>
      <c r="C501" s="195" t="s">
        <v>888</v>
      </c>
      <c r="D501" s="64">
        <v>459890</v>
      </c>
      <c r="E501" s="195" t="s">
        <v>366</v>
      </c>
      <c r="F501" s="71" t="s">
        <v>367</v>
      </c>
      <c r="G501" s="71" t="s">
        <v>887</v>
      </c>
      <c r="H501" s="71" t="s">
        <v>363</v>
      </c>
    </row>
    <row r="502" spans="1:9" ht="43.5" x14ac:dyDescent="0.35">
      <c r="A502" s="195">
        <v>3</v>
      </c>
      <c r="B502" s="195">
        <v>3</v>
      </c>
      <c r="C502" s="195" t="s">
        <v>889</v>
      </c>
      <c r="D502" s="64">
        <v>2320</v>
      </c>
      <c r="E502" s="195" t="s">
        <v>366</v>
      </c>
      <c r="F502" s="71" t="s">
        <v>367</v>
      </c>
      <c r="G502" s="71" t="s">
        <v>890</v>
      </c>
      <c r="H502" s="71" t="s">
        <v>363</v>
      </c>
    </row>
    <row r="503" spans="1:9" ht="43.5" x14ac:dyDescent="0.35">
      <c r="A503" s="195">
        <v>3</v>
      </c>
      <c r="B503" s="195">
        <v>4</v>
      </c>
      <c r="C503" s="195" t="s">
        <v>891</v>
      </c>
      <c r="D503" s="195">
        <v>605</v>
      </c>
      <c r="E503" s="195" t="s">
        <v>373</v>
      </c>
      <c r="F503" s="71" t="s">
        <v>367</v>
      </c>
      <c r="G503" s="71" t="s">
        <v>890</v>
      </c>
      <c r="H503" s="71" t="s">
        <v>371</v>
      </c>
    </row>
    <row r="504" spans="1:9" ht="43.5" x14ac:dyDescent="0.35">
      <c r="A504" s="195">
        <v>3</v>
      </c>
      <c r="B504" s="195">
        <v>5</v>
      </c>
      <c r="C504" s="195" t="s">
        <v>892</v>
      </c>
      <c r="D504" s="195">
        <v>285</v>
      </c>
      <c r="E504" s="195" t="s">
        <v>373</v>
      </c>
      <c r="F504" s="71" t="s">
        <v>367</v>
      </c>
      <c r="G504" s="71" t="s">
        <v>890</v>
      </c>
      <c r="H504" s="71" t="s">
        <v>388</v>
      </c>
    </row>
    <row r="505" spans="1:9" ht="43.5" x14ac:dyDescent="0.35">
      <c r="A505" s="195">
        <v>3</v>
      </c>
      <c r="B505" s="195">
        <v>6</v>
      </c>
      <c r="C505" s="195" t="s">
        <v>893</v>
      </c>
      <c r="D505" s="195">
        <v>315</v>
      </c>
      <c r="E505" s="195" t="s">
        <v>373</v>
      </c>
      <c r="F505" s="71" t="s">
        <v>367</v>
      </c>
      <c r="G505" s="71" t="s">
        <v>890</v>
      </c>
      <c r="H505" s="71" t="s">
        <v>397</v>
      </c>
    </row>
    <row r="506" spans="1:9" ht="43.5" x14ac:dyDescent="0.35">
      <c r="A506" s="195">
        <v>3</v>
      </c>
      <c r="B506" s="195">
        <v>7</v>
      </c>
      <c r="C506" s="195" t="s">
        <v>894</v>
      </c>
      <c r="D506" s="195">
        <v>80</v>
      </c>
      <c r="E506" s="195" t="s">
        <v>373</v>
      </c>
      <c r="F506" s="71" t="s">
        <v>367</v>
      </c>
      <c r="G506" s="71" t="s">
        <v>890</v>
      </c>
      <c r="H506" s="71" t="s">
        <v>406</v>
      </c>
    </row>
    <row r="507" spans="1:9" ht="43.5" x14ac:dyDescent="0.35">
      <c r="A507" s="195">
        <v>3</v>
      </c>
      <c r="B507" s="195">
        <v>8</v>
      </c>
      <c r="C507" s="195" t="s">
        <v>895</v>
      </c>
      <c r="D507" s="64">
        <v>1035</v>
      </c>
      <c r="E507" s="195" t="s">
        <v>373</v>
      </c>
      <c r="F507" s="71" t="s">
        <v>367</v>
      </c>
      <c r="G507" s="71" t="s">
        <v>890</v>
      </c>
      <c r="H507" s="71" t="s">
        <v>415</v>
      </c>
    </row>
    <row r="508" spans="1:9" ht="43.5" x14ac:dyDescent="0.35">
      <c r="A508" s="195">
        <v>3</v>
      </c>
      <c r="B508" s="195">
        <v>9</v>
      </c>
      <c r="C508" s="195" t="s">
        <v>896</v>
      </c>
      <c r="D508" s="64">
        <v>2460</v>
      </c>
      <c r="E508" s="195" t="s">
        <v>366</v>
      </c>
      <c r="F508" s="71" t="s">
        <v>367</v>
      </c>
      <c r="G508" s="71" t="s">
        <v>897</v>
      </c>
      <c r="H508" s="71" t="s">
        <v>363</v>
      </c>
    </row>
    <row r="509" spans="1:9" ht="43.5" x14ac:dyDescent="0.35">
      <c r="A509" s="195">
        <v>3</v>
      </c>
      <c r="B509" s="195">
        <v>10</v>
      </c>
      <c r="C509" s="195" t="s">
        <v>898</v>
      </c>
      <c r="D509" s="195">
        <v>230</v>
      </c>
      <c r="E509" s="195" t="s">
        <v>373</v>
      </c>
      <c r="F509" s="71" t="s">
        <v>367</v>
      </c>
      <c r="G509" s="71" t="s">
        <v>897</v>
      </c>
      <c r="H509" s="71" t="s">
        <v>371</v>
      </c>
    </row>
    <row r="510" spans="1:9" ht="43.5" x14ac:dyDescent="0.35">
      <c r="A510" s="195">
        <v>3</v>
      </c>
      <c r="B510" s="195">
        <v>11</v>
      </c>
      <c r="C510" s="195" t="s">
        <v>899</v>
      </c>
      <c r="D510" s="195">
        <v>470</v>
      </c>
      <c r="E510" s="195" t="s">
        <v>373</v>
      </c>
      <c r="F510" s="71" t="s">
        <v>367</v>
      </c>
      <c r="G510" s="71" t="s">
        <v>897</v>
      </c>
      <c r="H510" s="71" t="s">
        <v>388</v>
      </c>
    </row>
    <row r="511" spans="1:9" ht="43.5" x14ac:dyDescent="0.35">
      <c r="A511" s="195">
        <v>3</v>
      </c>
      <c r="B511" s="195">
        <v>12</v>
      </c>
      <c r="C511" s="195" t="s">
        <v>900</v>
      </c>
      <c r="D511" s="195">
        <v>465</v>
      </c>
      <c r="E511" s="195" t="s">
        <v>373</v>
      </c>
      <c r="F511" s="71" t="s">
        <v>367</v>
      </c>
      <c r="G511" s="71" t="s">
        <v>897</v>
      </c>
      <c r="H511" s="71" t="s">
        <v>397</v>
      </c>
    </row>
    <row r="512" spans="1:9" ht="43.5" x14ac:dyDescent="0.35">
      <c r="A512" s="195">
        <v>3</v>
      </c>
      <c r="B512" s="195">
        <v>13</v>
      </c>
      <c r="C512" s="195" t="s">
        <v>901</v>
      </c>
      <c r="D512" s="195">
        <v>365</v>
      </c>
      <c r="E512" s="195" t="s">
        <v>373</v>
      </c>
      <c r="F512" s="71" t="s">
        <v>367</v>
      </c>
      <c r="G512" s="71" t="s">
        <v>897</v>
      </c>
      <c r="H512" s="71" t="s">
        <v>406</v>
      </c>
    </row>
    <row r="513" spans="1:8" ht="43.5" x14ac:dyDescent="0.35">
      <c r="A513" s="195">
        <v>3</v>
      </c>
      <c r="B513" s="195">
        <v>14</v>
      </c>
      <c r="C513" s="195" t="s">
        <v>902</v>
      </c>
      <c r="D513" s="64">
        <v>935</v>
      </c>
      <c r="E513" s="195" t="s">
        <v>373</v>
      </c>
      <c r="F513" s="71" t="s">
        <v>367</v>
      </c>
      <c r="G513" s="71" t="s">
        <v>897</v>
      </c>
      <c r="H513" s="71" t="s">
        <v>415</v>
      </c>
    </row>
    <row r="514" spans="1:8" ht="58" x14ac:dyDescent="0.35">
      <c r="A514" s="195">
        <v>3</v>
      </c>
      <c r="B514" s="195">
        <v>15</v>
      </c>
      <c r="C514" s="195" t="s">
        <v>903</v>
      </c>
      <c r="D514" s="64">
        <v>9570</v>
      </c>
      <c r="E514" s="195" t="s">
        <v>366</v>
      </c>
      <c r="F514" s="71" t="s">
        <v>367</v>
      </c>
      <c r="G514" s="71" t="s">
        <v>904</v>
      </c>
      <c r="H514" s="71" t="s">
        <v>363</v>
      </c>
    </row>
    <row r="515" spans="1:8" ht="58" x14ac:dyDescent="0.35">
      <c r="A515" s="195">
        <v>3</v>
      </c>
      <c r="B515" s="195">
        <v>16</v>
      </c>
      <c r="C515" s="195" t="s">
        <v>905</v>
      </c>
      <c r="D515" s="64">
        <v>910</v>
      </c>
      <c r="E515" s="195" t="s">
        <v>373</v>
      </c>
      <c r="F515" s="71" t="s">
        <v>367</v>
      </c>
      <c r="G515" s="71" t="s">
        <v>904</v>
      </c>
      <c r="H515" s="71" t="s">
        <v>371</v>
      </c>
    </row>
    <row r="516" spans="1:8" ht="58" x14ac:dyDescent="0.35">
      <c r="A516" s="195">
        <v>3</v>
      </c>
      <c r="B516" s="195">
        <v>17</v>
      </c>
      <c r="C516" s="195" t="s">
        <v>906</v>
      </c>
      <c r="D516" s="64">
        <v>1820</v>
      </c>
      <c r="E516" s="195" t="s">
        <v>373</v>
      </c>
      <c r="F516" s="71" t="s">
        <v>367</v>
      </c>
      <c r="G516" s="71" t="s">
        <v>904</v>
      </c>
      <c r="H516" s="71" t="s">
        <v>388</v>
      </c>
    </row>
    <row r="517" spans="1:8" ht="58" x14ac:dyDescent="0.35">
      <c r="A517" s="195">
        <v>3</v>
      </c>
      <c r="B517" s="195">
        <v>18</v>
      </c>
      <c r="C517" s="195" t="s">
        <v>907</v>
      </c>
      <c r="D517" s="64">
        <v>2270</v>
      </c>
      <c r="E517" s="195" t="s">
        <v>373</v>
      </c>
      <c r="F517" s="71" t="s">
        <v>367</v>
      </c>
      <c r="G517" s="71" t="s">
        <v>904</v>
      </c>
      <c r="H517" s="71" t="s">
        <v>397</v>
      </c>
    </row>
    <row r="518" spans="1:8" ht="58" x14ac:dyDescent="0.35">
      <c r="A518" s="195">
        <v>3</v>
      </c>
      <c r="B518" s="195">
        <v>19</v>
      </c>
      <c r="C518" s="195" t="s">
        <v>908</v>
      </c>
      <c r="D518" s="64">
        <v>1300</v>
      </c>
      <c r="E518" s="195" t="s">
        <v>373</v>
      </c>
      <c r="F518" s="71" t="s">
        <v>367</v>
      </c>
      <c r="G518" s="71" t="s">
        <v>904</v>
      </c>
      <c r="H518" s="71" t="s">
        <v>406</v>
      </c>
    </row>
    <row r="519" spans="1:8" ht="58" x14ac:dyDescent="0.35">
      <c r="A519" s="195">
        <v>3</v>
      </c>
      <c r="B519" s="195">
        <v>20</v>
      </c>
      <c r="C519" s="195" t="s">
        <v>909</v>
      </c>
      <c r="D519" s="64">
        <v>3270</v>
      </c>
      <c r="E519" s="195" t="s">
        <v>373</v>
      </c>
      <c r="F519" s="71" t="s">
        <v>367</v>
      </c>
      <c r="G519" s="71" t="s">
        <v>904</v>
      </c>
      <c r="H519" s="71" t="s">
        <v>415</v>
      </c>
    </row>
    <row r="520" spans="1:8" ht="43.5" x14ac:dyDescent="0.35">
      <c r="A520" s="195">
        <v>3</v>
      </c>
      <c r="B520" s="195">
        <v>21</v>
      </c>
      <c r="C520" s="195" t="s">
        <v>910</v>
      </c>
      <c r="D520" s="64">
        <v>68300</v>
      </c>
      <c r="E520" s="195" t="s">
        <v>366</v>
      </c>
      <c r="F520" s="71" t="s">
        <v>367</v>
      </c>
      <c r="G520" s="71" t="s">
        <v>911</v>
      </c>
      <c r="H520" s="71" t="s">
        <v>363</v>
      </c>
    </row>
    <row r="521" spans="1:8" ht="43.5" x14ac:dyDescent="0.35">
      <c r="A521" s="195">
        <v>3</v>
      </c>
      <c r="B521" s="195">
        <v>22</v>
      </c>
      <c r="C521" s="195" t="s">
        <v>912</v>
      </c>
      <c r="D521" s="64">
        <v>31090</v>
      </c>
      <c r="E521" s="195" t="s">
        <v>373</v>
      </c>
      <c r="F521" s="71" t="s">
        <v>367</v>
      </c>
      <c r="G521" s="71" t="s">
        <v>911</v>
      </c>
      <c r="H521" s="71" t="s">
        <v>371</v>
      </c>
    </row>
    <row r="522" spans="1:8" ht="43.5" x14ac:dyDescent="0.35">
      <c r="A522" s="195">
        <v>3</v>
      </c>
      <c r="B522" s="195">
        <v>23</v>
      </c>
      <c r="C522" s="195" t="s">
        <v>913</v>
      </c>
      <c r="D522" s="64">
        <v>18990</v>
      </c>
      <c r="E522" s="195" t="s">
        <v>373</v>
      </c>
      <c r="F522" s="71" t="s">
        <v>367</v>
      </c>
      <c r="G522" s="71" t="s">
        <v>911</v>
      </c>
      <c r="H522" s="71" t="s">
        <v>388</v>
      </c>
    </row>
    <row r="523" spans="1:8" ht="43.5" x14ac:dyDescent="0.35">
      <c r="A523" s="195">
        <v>3</v>
      </c>
      <c r="B523" s="195">
        <v>24</v>
      </c>
      <c r="C523" s="195" t="s">
        <v>914</v>
      </c>
      <c r="D523" s="64">
        <v>11935</v>
      </c>
      <c r="E523" s="195" t="s">
        <v>373</v>
      </c>
      <c r="F523" s="71" t="s">
        <v>367</v>
      </c>
      <c r="G523" s="71" t="s">
        <v>911</v>
      </c>
      <c r="H523" s="71" t="s">
        <v>397</v>
      </c>
    </row>
    <row r="524" spans="1:8" ht="43.5" x14ac:dyDescent="0.35">
      <c r="A524" s="195">
        <v>3</v>
      </c>
      <c r="B524" s="195">
        <v>25</v>
      </c>
      <c r="C524" s="195" t="s">
        <v>915</v>
      </c>
      <c r="D524" s="64">
        <v>3200</v>
      </c>
      <c r="E524" s="195" t="s">
        <v>373</v>
      </c>
      <c r="F524" s="71" t="s">
        <v>367</v>
      </c>
      <c r="G524" s="71" t="s">
        <v>911</v>
      </c>
      <c r="H524" s="71" t="s">
        <v>406</v>
      </c>
    </row>
    <row r="525" spans="1:8" ht="43.5" x14ac:dyDescent="0.35">
      <c r="A525" s="195">
        <v>3</v>
      </c>
      <c r="B525" s="195">
        <v>26</v>
      </c>
      <c r="C525" s="195" t="s">
        <v>916</v>
      </c>
      <c r="D525" s="64">
        <v>3090</v>
      </c>
      <c r="E525" s="195" t="s">
        <v>373</v>
      </c>
      <c r="F525" s="71" t="s">
        <v>367</v>
      </c>
      <c r="G525" s="71" t="s">
        <v>911</v>
      </c>
      <c r="H525" s="71" t="s">
        <v>415</v>
      </c>
    </row>
    <row r="526" spans="1:8" ht="58" x14ac:dyDescent="0.35">
      <c r="A526" s="195">
        <v>3</v>
      </c>
      <c r="B526" s="195">
        <v>27</v>
      </c>
      <c r="C526" s="195" t="s">
        <v>917</v>
      </c>
      <c r="D526" s="64">
        <v>75865</v>
      </c>
      <c r="E526" s="195" t="s">
        <v>366</v>
      </c>
      <c r="F526" s="71" t="s">
        <v>367</v>
      </c>
      <c r="G526" s="71" t="s">
        <v>918</v>
      </c>
      <c r="H526" s="71" t="s">
        <v>363</v>
      </c>
    </row>
    <row r="527" spans="1:8" ht="58" x14ac:dyDescent="0.35">
      <c r="A527" s="195">
        <v>3</v>
      </c>
      <c r="B527" s="195">
        <v>28</v>
      </c>
      <c r="C527" s="195" t="s">
        <v>919</v>
      </c>
      <c r="D527" s="64">
        <v>6480</v>
      </c>
      <c r="E527" s="195" t="s">
        <v>373</v>
      </c>
      <c r="F527" s="71" t="s">
        <v>367</v>
      </c>
      <c r="G527" s="71" t="s">
        <v>918</v>
      </c>
      <c r="H527" s="71" t="s">
        <v>371</v>
      </c>
    </row>
    <row r="528" spans="1:8" ht="58" x14ac:dyDescent="0.35">
      <c r="A528" s="195">
        <v>3</v>
      </c>
      <c r="B528" s="195">
        <v>29</v>
      </c>
      <c r="C528" s="195" t="s">
        <v>920</v>
      </c>
      <c r="D528" s="64">
        <v>14040</v>
      </c>
      <c r="E528" s="195" t="s">
        <v>373</v>
      </c>
      <c r="F528" s="71" t="s">
        <v>367</v>
      </c>
      <c r="G528" s="71" t="s">
        <v>918</v>
      </c>
      <c r="H528" s="71" t="s">
        <v>388</v>
      </c>
    </row>
    <row r="529" spans="1:8" ht="58" x14ac:dyDescent="0.35">
      <c r="A529" s="195">
        <v>3</v>
      </c>
      <c r="B529" s="195">
        <v>30</v>
      </c>
      <c r="C529" s="195" t="s">
        <v>921</v>
      </c>
      <c r="D529" s="64">
        <v>22110</v>
      </c>
      <c r="E529" s="195" t="s">
        <v>373</v>
      </c>
      <c r="F529" s="71" t="s">
        <v>367</v>
      </c>
      <c r="G529" s="71" t="s">
        <v>918</v>
      </c>
      <c r="H529" s="71" t="s">
        <v>397</v>
      </c>
    </row>
    <row r="530" spans="1:8" ht="58" x14ac:dyDescent="0.35">
      <c r="A530" s="195">
        <v>3</v>
      </c>
      <c r="B530" s="195">
        <v>31</v>
      </c>
      <c r="C530" s="195" t="s">
        <v>922</v>
      </c>
      <c r="D530" s="64">
        <v>11610</v>
      </c>
      <c r="E530" s="195" t="s">
        <v>373</v>
      </c>
      <c r="F530" s="71" t="s">
        <v>367</v>
      </c>
      <c r="G530" s="71" t="s">
        <v>918</v>
      </c>
      <c r="H530" s="71" t="s">
        <v>406</v>
      </c>
    </row>
    <row r="531" spans="1:8" ht="58" x14ac:dyDescent="0.35">
      <c r="A531" s="195">
        <v>3</v>
      </c>
      <c r="B531" s="195">
        <v>32</v>
      </c>
      <c r="C531" s="195" t="s">
        <v>923</v>
      </c>
      <c r="D531" s="64">
        <v>21620</v>
      </c>
      <c r="E531" s="195" t="s">
        <v>373</v>
      </c>
      <c r="F531" s="71" t="s">
        <v>367</v>
      </c>
      <c r="G531" s="71" t="s">
        <v>918</v>
      </c>
      <c r="H531" s="71" t="s">
        <v>415</v>
      </c>
    </row>
    <row r="532" spans="1:8" ht="43.5" x14ac:dyDescent="0.35">
      <c r="A532" s="195">
        <v>3</v>
      </c>
      <c r="B532" s="195">
        <v>33</v>
      </c>
      <c r="C532" s="195" t="s">
        <v>924</v>
      </c>
      <c r="D532" s="64">
        <v>4550</v>
      </c>
      <c r="E532" s="195" t="s">
        <v>366</v>
      </c>
      <c r="F532" s="71" t="s">
        <v>367</v>
      </c>
      <c r="G532" s="71" t="s">
        <v>925</v>
      </c>
      <c r="H532" s="71" t="s">
        <v>363</v>
      </c>
    </row>
    <row r="533" spans="1:8" ht="43.5" x14ac:dyDescent="0.35">
      <c r="A533" s="195">
        <v>3</v>
      </c>
      <c r="B533" s="195">
        <v>34</v>
      </c>
      <c r="C533" s="195" t="s">
        <v>926</v>
      </c>
      <c r="D533" s="64">
        <v>4550</v>
      </c>
      <c r="E533" s="195" t="s">
        <v>373</v>
      </c>
      <c r="F533" s="71" t="s">
        <v>367</v>
      </c>
      <c r="G533" s="71" t="s">
        <v>925</v>
      </c>
      <c r="H533" s="71" t="s">
        <v>371</v>
      </c>
    </row>
    <row r="534" spans="1:8" ht="43.5" x14ac:dyDescent="0.35">
      <c r="A534" s="195">
        <v>3</v>
      </c>
      <c r="B534" s="195">
        <v>35</v>
      </c>
      <c r="C534" s="195" t="s">
        <v>927</v>
      </c>
      <c r="D534" s="195">
        <v>0</v>
      </c>
      <c r="E534" s="195" t="s">
        <v>373</v>
      </c>
      <c r="F534" s="71" t="s">
        <v>367</v>
      </c>
      <c r="G534" s="71" t="s">
        <v>925</v>
      </c>
      <c r="H534" s="71" t="s">
        <v>388</v>
      </c>
    </row>
    <row r="535" spans="1:8" ht="43.5" x14ac:dyDescent="0.35">
      <c r="A535" s="195">
        <v>3</v>
      </c>
      <c r="B535" s="195">
        <v>36</v>
      </c>
      <c r="C535" s="195" t="s">
        <v>928</v>
      </c>
      <c r="D535" s="195">
        <v>0</v>
      </c>
      <c r="E535" s="195" t="s">
        <v>373</v>
      </c>
      <c r="F535" s="71" t="s">
        <v>367</v>
      </c>
      <c r="G535" s="71" t="s">
        <v>925</v>
      </c>
      <c r="H535" s="71" t="s">
        <v>397</v>
      </c>
    </row>
    <row r="536" spans="1:8" ht="43.5" x14ac:dyDescent="0.35">
      <c r="A536" s="195">
        <v>3</v>
      </c>
      <c r="B536" s="195">
        <v>37</v>
      </c>
      <c r="C536" s="195" t="s">
        <v>929</v>
      </c>
      <c r="D536" s="195">
        <v>0</v>
      </c>
      <c r="E536" s="195" t="s">
        <v>373</v>
      </c>
      <c r="F536" s="71" t="s">
        <v>367</v>
      </c>
      <c r="G536" s="71" t="s">
        <v>925</v>
      </c>
      <c r="H536" s="71" t="s">
        <v>406</v>
      </c>
    </row>
    <row r="537" spans="1:8" ht="43.5" x14ac:dyDescent="0.35">
      <c r="A537" s="195">
        <v>3</v>
      </c>
      <c r="B537" s="195">
        <v>38</v>
      </c>
      <c r="C537" s="195" t="s">
        <v>930</v>
      </c>
      <c r="D537" s="195">
        <v>0</v>
      </c>
      <c r="E537" s="195" t="s">
        <v>373</v>
      </c>
      <c r="F537" s="71" t="s">
        <v>367</v>
      </c>
      <c r="G537" s="71" t="s">
        <v>925</v>
      </c>
      <c r="H537" s="71" t="s">
        <v>415</v>
      </c>
    </row>
    <row r="538" spans="1:8" ht="43.5" x14ac:dyDescent="0.35">
      <c r="A538" s="195">
        <v>3</v>
      </c>
      <c r="B538" s="195">
        <v>39</v>
      </c>
      <c r="C538" s="195" t="s">
        <v>931</v>
      </c>
      <c r="D538" s="64">
        <v>296825</v>
      </c>
      <c r="E538" s="195" t="s">
        <v>366</v>
      </c>
      <c r="F538" s="71" t="s">
        <v>367</v>
      </c>
      <c r="G538" s="71" t="s">
        <v>932</v>
      </c>
      <c r="H538" s="71" t="s">
        <v>363</v>
      </c>
    </row>
    <row r="539" spans="1:8" ht="43.5" x14ac:dyDescent="0.35">
      <c r="A539" s="195">
        <v>3</v>
      </c>
      <c r="B539" s="195">
        <v>40</v>
      </c>
      <c r="C539" s="195" t="s">
        <v>933</v>
      </c>
      <c r="D539" s="64">
        <v>4585</v>
      </c>
      <c r="E539" s="195" t="s">
        <v>373</v>
      </c>
      <c r="F539" s="71" t="s">
        <v>367</v>
      </c>
      <c r="G539" s="71" t="s">
        <v>932</v>
      </c>
      <c r="H539" s="71" t="s">
        <v>371</v>
      </c>
    </row>
    <row r="540" spans="1:8" ht="43.5" x14ac:dyDescent="0.35">
      <c r="A540" s="195">
        <v>3</v>
      </c>
      <c r="B540" s="195">
        <v>41</v>
      </c>
      <c r="C540" s="195" t="s">
        <v>934</v>
      </c>
      <c r="D540" s="64">
        <v>16090</v>
      </c>
      <c r="E540" s="195" t="s">
        <v>373</v>
      </c>
      <c r="F540" s="71" t="s">
        <v>367</v>
      </c>
      <c r="G540" s="71" t="s">
        <v>932</v>
      </c>
      <c r="H540" s="71" t="s">
        <v>388</v>
      </c>
    </row>
    <row r="541" spans="1:8" ht="43.5" x14ac:dyDescent="0.35">
      <c r="A541" s="195">
        <v>3</v>
      </c>
      <c r="B541" s="195">
        <v>42</v>
      </c>
      <c r="C541" s="195" t="s">
        <v>935</v>
      </c>
      <c r="D541" s="64">
        <v>34130</v>
      </c>
      <c r="E541" s="195" t="s">
        <v>373</v>
      </c>
      <c r="F541" s="71" t="s">
        <v>367</v>
      </c>
      <c r="G541" s="71" t="s">
        <v>932</v>
      </c>
      <c r="H541" s="71" t="s">
        <v>397</v>
      </c>
    </row>
    <row r="542" spans="1:8" ht="43.5" x14ac:dyDescent="0.35">
      <c r="A542" s="195">
        <v>3</v>
      </c>
      <c r="B542" s="195">
        <v>43</v>
      </c>
      <c r="C542" s="195" t="s">
        <v>936</v>
      </c>
      <c r="D542" s="64">
        <v>28440</v>
      </c>
      <c r="E542" s="195" t="s">
        <v>373</v>
      </c>
      <c r="F542" s="71" t="s">
        <v>367</v>
      </c>
      <c r="G542" s="71" t="s">
        <v>932</v>
      </c>
      <c r="H542" s="71" t="s">
        <v>406</v>
      </c>
    </row>
    <row r="543" spans="1:8" ht="43.5" x14ac:dyDescent="0.35">
      <c r="A543" s="195">
        <v>3</v>
      </c>
      <c r="B543" s="195">
        <v>44</v>
      </c>
      <c r="C543" s="195" t="s">
        <v>937</v>
      </c>
      <c r="D543" s="64">
        <v>213575</v>
      </c>
      <c r="E543" s="195" t="s">
        <v>373</v>
      </c>
      <c r="F543" s="71" t="s">
        <v>367</v>
      </c>
      <c r="G543" s="71" t="s">
        <v>932</v>
      </c>
      <c r="H543" s="71" t="s">
        <v>415</v>
      </c>
    </row>
    <row r="544" spans="1:8" ht="29" x14ac:dyDescent="0.35">
      <c r="A544" s="195">
        <v>3</v>
      </c>
      <c r="B544" s="195">
        <v>45</v>
      </c>
      <c r="C544" s="195" t="s">
        <v>938</v>
      </c>
      <c r="D544" s="64">
        <v>582690</v>
      </c>
      <c r="E544" s="195" t="s">
        <v>366</v>
      </c>
      <c r="F544" s="71" t="s">
        <v>508</v>
      </c>
      <c r="G544" s="71" t="s">
        <v>887</v>
      </c>
      <c r="H544" s="71" t="s">
        <v>363</v>
      </c>
    </row>
    <row r="545" spans="1:8" ht="43.5" x14ac:dyDescent="0.35">
      <c r="A545" s="195">
        <v>3</v>
      </c>
      <c r="B545" s="195">
        <v>46</v>
      </c>
      <c r="C545" s="195" t="s">
        <v>939</v>
      </c>
      <c r="D545" s="64">
        <v>8010</v>
      </c>
      <c r="E545" s="195" t="s">
        <v>366</v>
      </c>
      <c r="F545" s="71" t="s">
        <v>508</v>
      </c>
      <c r="G545" s="71" t="s">
        <v>890</v>
      </c>
      <c r="H545" s="71" t="s">
        <v>363</v>
      </c>
    </row>
    <row r="546" spans="1:8" ht="43.5" x14ac:dyDescent="0.35">
      <c r="A546" s="195">
        <v>3</v>
      </c>
      <c r="B546" s="195">
        <v>47</v>
      </c>
      <c r="C546" s="195" t="s">
        <v>940</v>
      </c>
      <c r="D546" s="64">
        <v>4445</v>
      </c>
      <c r="E546" s="195" t="s">
        <v>373</v>
      </c>
      <c r="F546" s="71" t="s">
        <v>508</v>
      </c>
      <c r="G546" s="71" t="s">
        <v>890</v>
      </c>
      <c r="H546" s="71" t="s">
        <v>371</v>
      </c>
    </row>
    <row r="547" spans="1:8" ht="43.5" x14ac:dyDescent="0.35">
      <c r="A547" s="195">
        <v>3</v>
      </c>
      <c r="B547" s="195">
        <v>48</v>
      </c>
      <c r="C547" s="195" t="s">
        <v>941</v>
      </c>
      <c r="D547" s="64">
        <v>1430</v>
      </c>
      <c r="E547" s="195" t="s">
        <v>373</v>
      </c>
      <c r="F547" s="71" t="s">
        <v>508</v>
      </c>
      <c r="G547" s="71" t="s">
        <v>890</v>
      </c>
      <c r="H547" s="71" t="s">
        <v>388</v>
      </c>
    </row>
    <row r="548" spans="1:8" ht="43.5" x14ac:dyDescent="0.35">
      <c r="A548" s="195">
        <v>3</v>
      </c>
      <c r="B548" s="195">
        <v>49</v>
      </c>
      <c r="C548" s="195" t="s">
        <v>942</v>
      </c>
      <c r="D548" s="64">
        <v>795</v>
      </c>
      <c r="E548" s="195" t="s">
        <v>373</v>
      </c>
      <c r="F548" s="71" t="s">
        <v>508</v>
      </c>
      <c r="G548" s="71" t="s">
        <v>890</v>
      </c>
      <c r="H548" s="71" t="s">
        <v>397</v>
      </c>
    </row>
    <row r="549" spans="1:8" ht="43.5" x14ac:dyDescent="0.35">
      <c r="A549" s="195">
        <v>3</v>
      </c>
      <c r="B549" s="195">
        <v>50</v>
      </c>
      <c r="C549" s="195" t="s">
        <v>943</v>
      </c>
      <c r="D549" s="195">
        <v>260</v>
      </c>
      <c r="E549" s="195" t="s">
        <v>373</v>
      </c>
      <c r="F549" s="71" t="s">
        <v>508</v>
      </c>
      <c r="G549" s="71" t="s">
        <v>890</v>
      </c>
      <c r="H549" s="71" t="s">
        <v>406</v>
      </c>
    </row>
    <row r="550" spans="1:8" ht="43.5" x14ac:dyDescent="0.35">
      <c r="A550" s="195">
        <v>3</v>
      </c>
      <c r="B550" s="195">
        <v>51</v>
      </c>
      <c r="C550" s="195" t="s">
        <v>944</v>
      </c>
      <c r="D550" s="64">
        <v>1080</v>
      </c>
      <c r="E550" s="195" t="s">
        <v>373</v>
      </c>
      <c r="F550" s="71" t="s">
        <v>508</v>
      </c>
      <c r="G550" s="71" t="s">
        <v>890</v>
      </c>
      <c r="H550" s="71" t="s">
        <v>415</v>
      </c>
    </row>
    <row r="551" spans="1:8" ht="43.5" x14ac:dyDescent="0.35">
      <c r="A551" s="195">
        <v>3</v>
      </c>
      <c r="B551" s="195">
        <v>52</v>
      </c>
      <c r="C551" s="195" t="s">
        <v>945</v>
      </c>
      <c r="D551" s="64">
        <v>11030</v>
      </c>
      <c r="E551" s="195" t="s">
        <v>366</v>
      </c>
      <c r="F551" s="71" t="s">
        <v>508</v>
      </c>
      <c r="G551" s="71" t="s">
        <v>897</v>
      </c>
      <c r="H551" s="71" t="s">
        <v>363</v>
      </c>
    </row>
    <row r="552" spans="1:8" ht="43.5" x14ac:dyDescent="0.35">
      <c r="A552" s="195">
        <v>3</v>
      </c>
      <c r="B552" s="195">
        <v>53</v>
      </c>
      <c r="C552" s="195" t="s">
        <v>946</v>
      </c>
      <c r="D552" s="64">
        <v>3790</v>
      </c>
      <c r="E552" s="195" t="s">
        <v>373</v>
      </c>
      <c r="F552" s="71" t="s">
        <v>508</v>
      </c>
      <c r="G552" s="71" t="s">
        <v>897</v>
      </c>
      <c r="H552" s="71" t="s">
        <v>371</v>
      </c>
    </row>
    <row r="553" spans="1:8" ht="43.5" x14ac:dyDescent="0.35">
      <c r="A553" s="195">
        <v>3</v>
      </c>
      <c r="B553" s="195">
        <v>54</v>
      </c>
      <c r="C553" s="195" t="s">
        <v>947</v>
      </c>
      <c r="D553" s="64">
        <v>2455</v>
      </c>
      <c r="E553" s="195" t="s">
        <v>373</v>
      </c>
      <c r="F553" s="71" t="s">
        <v>508</v>
      </c>
      <c r="G553" s="71" t="s">
        <v>897</v>
      </c>
      <c r="H553" s="71" t="s">
        <v>388</v>
      </c>
    </row>
    <row r="554" spans="1:8" ht="43.5" x14ac:dyDescent="0.35">
      <c r="A554" s="195">
        <v>3</v>
      </c>
      <c r="B554" s="195">
        <v>55</v>
      </c>
      <c r="C554" s="195" t="s">
        <v>948</v>
      </c>
      <c r="D554" s="64">
        <v>1970</v>
      </c>
      <c r="E554" s="195" t="s">
        <v>373</v>
      </c>
      <c r="F554" s="71" t="s">
        <v>508</v>
      </c>
      <c r="G554" s="71" t="s">
        <v>897</v>
      </c>
      <c r="H554" s="71" t="s">
        <v>397</v>
      </c>
    </row>
    <row r="555" spans="1:8" ht="43.5" x14ac:dyDescent="0.35">
      <c r="A555" s="195">
        <v>3</v>
      </c>
      <c r="B555" s="195">
        <v>56</v>
      </c>
      <c r="C555" s="195" t="s">
        <v>949</v>
      </c>
      <c r="D555" s="64">
        <v>905</v>
      </c>
      <c r="E555" s="195" t="s">
        <v>373</v>
      </c>
      <c r="F555" s="71" t="s">
        <v>508</v>
      </c>
      <c r="G555" s="71" t="s">
        <v>897</v>
      </c>
      <c r="H555" s="71" t="s">
        <v>406</v>
      </c>
    </row>
    <row r="556" spans="1:8" ht="43.5" x14ac:dyDescent="0.35">
      <c r="A556" s="195">
        <v>3</v>
      </c>
      <c r="B556" s="195">
        <v>57</v>
      </c>
      <c r="C556" s="195" t="s">
        <v>950</v>
      </c>
      <c r="D556" s="64">
        <v>1910</v>
      </c>
      <c r="E556" s="195" t="s">
        <v>373</v>
      </c>
      <c r="F556" s="71" t="s">
        <v>508</v>
      </c>
      <c r="G556" s="71" t="s">
        <v>897</v>
      </c>
      <c r="H556" s="71" t="s">
        <v>415</v>
      </c>
    </row>
    <row r="557" spans="1:8" ht="58" x14ac:dyDescent="0.35">
      <c r="A557" s="195">
        <v>3</v>
      </c>
      <c r="B557" s="195">
        <v>58</v>
      </c>
      <c r="C557" s="195" t="s">
        <v>951</v>
      </c>
      <c r="D557" s="64">
        <v>19635</v>
      </c>
      <c r="E557" s="195" t="s">
        <v>366</v>
      </c>
      <c r="F557" s="71" t="s">
        <v>508</v>
      </c>
      <c r="G557" s="71" t="s">
        <v>904</v>
      </c>
      <c r="H557" s="71" t="s">
        <v>363</v>
      </c>
    </row>
    <row r="558" spans="1:8" ht="58" x14ac:dyDescent="0.35">
      <c r="A558" s="195">
        <v>3</v>
      </c>
      <c r="B558" s="195">
        <v>59</v>
      </c>
      <c r="C558" s="195" t="s">
        <v>952</v>
      </c>
      <c r="D558" s="64">
        <v>8360</v>
      </c>
      <c r="E558" s="195" t="s">
        <v>373</v>
      </c>
      <c r="F558" s="71" t="s">
        <v>508</v>
      </c>
      <c r="G558" s="71" t="s">
        <v>904</v>
      </c>
      <c r="H558" s="71" t="s">
        <v>371</v>
      </c>
    </row>
    <row r="559" spans="1:8" ht="58" x14ac:dyDescent="0.35">
      <c r="A559" s="195">
        <v>3</v>
      </c>
      <c r="B559" s="195">
        <v>60</v>
      </c>
      <c r="C559" s="195" t="s">
        <v>953</v>
      </c>
      <c r="D559" s="64">
        <v>4825</v>
      </c>
      <c r="E559" s="195" t="s">
        <v>373</v>
      </c>
      <c r="F559" s="71" t="s">
        <v>508</v>
      </c>
      <c r="G559" s="71" t="s">
        <v>904</v>
      </c>
      <c r="H559" s="71" t="s">
        <v>388</v>
      </c>
    </row>
    <row r="560" spans="1:8" ht="58" x14ac:dyDescent="0.35">
      <c r="A560" s="195">
        <v>3</v>
      </c>
      <c r="B560" s="195">
        <v>61</v>
      </c>
      <c r="C560" s="195" t="s">
        <v>954</v>
      </c>
      <c r="D560" s="64">
        <v>3830</v>
      </c>
      <c r="E560" s="195" t="s">
        <v>373</v>
      </c>
      <c r="F560" s="71" t="s">
        <v>508</v>
      </c>
      <c r="G560" s="71" t="s">
        <v>904</v>
      </c>
      <c r="H560" s="71" t="s">
        <v>397</v>
      </c>
    </row>
    <row r="561" spans="1:8" ht="58" x14ac:dyDescent="0.35">
      <c r="A561" s="195">
        <v>3</v>
      </c>
      <c r="B561" s="195">
        <v>62</v>
      </c>
      <c r="C561" s="195" t="s">
        <v>955</v>
      </c>
      <c r="D561" s="64">
        <v>1040</v>
      </c>
      <c r="E561" s="195" t="s">
        <v>373</v>
      </c>
      <c r="F561" s="71" t="s">
        <v>508</v>
      </c>
      <c r="G561" s="71" t="s">
        <v>904</v>
      </c>
      <c r="H561" s="71" t="s">
        <v>406</v>
      </c>
    </row>
    <row r="562" spans="1:8" ht="58" x14ac:dyDescent="0.35">
      <c r="A562" s="195">
        <v>3</v>
      </c>
      <c r="B562" s="195">
        <v>63</v>
      </c>
      <c r="C562" s="195" t="s">
        <v>956</v>
      </c>
      <c r="D562" s="64">
        <v>1580</v>
      </c>
      <c r="E562" s="195" t="s">
        <v>373</v>
      </c>
      <c r="F562" s="71" t="s">
        <v>508</v>
      </c>
      <c r="G562" s="71" t="s">
        <v>904</v>
      </c>
      <c r="H562" s="71" t="s">
        <v>415</v>
      </c>
    </row>
    <row r="563" spans="1:8" ht="43.5" x14ac:dyDescent="0.35">
      <c r="A563" s="195">
        <v>3</v>
      </c>
      <c r="B563" s="195">
        <v>64</v>
      </c>
      <c r="C563" s="195" t="s">
        <v>957</v>
      </c>
      <c r="D563" s="64">
        <v>135625</v>
      </c>
      <c r="E563" s="195" t="s">
        <v>366</v>
      </c>
      <c r="F563" s="71" t="s">
        <v>508</v>
      </c>
      <c r="G563" s="71" t="s">
        <v>911</v>
      </c>
      <c r="H563" s="71" t="s">
        <v>363</v>
      </c>
    </row>
    <row r="564" spans="1:8" ht="43.5" x14ac:dyDescent="0.35">
      <c r="A564" s="195">
        <v>3</v>
      </c>
      <c r="B564" s="195">
        <v>65</v>
      </c>
      <c r="C564" s="195" t="s">
        <v>958</v>
      </c>
      <c r="D564" s="64">
        <v>106375</v>
      </c>
      <c r="E564" s="195" t="s">
        <v>373</v>
      </c>
      <c r="F564" s="71" t="s">
        <v>508</v>
      </c>
      <c r="G564" s="71" t="s">
        <v>911</v>
      </c>
      <c r="H564" s="71" t="s">
        <v>371</v>
      </c>
    </row>
    <row r="565" spans="1:8" ht="43.5" x14ac:dyDescent="0.35">
      <c r="A565" s="195">
        <v>3</v>
      </c>
      <c r="B565" s="195">
        <v>66</v>
      </c>
      <c r="C565" s="195" t="s">
        <v>959</v>
      </c>
      <c r="D565" s="64">
        <v>22980</v>
      </c>
      <c r="E565" s="195" t="s">
        <v>373</v>
      </c>
      <c r="F565" s="71" t="s">
        <v>508</v>
      </c>
      <c r="G565" s="71" t="s">
        <v>911</v>
      </c>
      <c r="H565" s="71" t="s">
        <v>388</v>
      </c>
    </row>
    <row r="566" spans="1:8" ht="43.5" x14ac:dyDescent="0.35">
      <c r="A566" s="195">
        <v>3</v>
      </c>
      <c r="B566" s="195">
        <v>67</v>
      </c>
      <c r="C566" s="195" t="s">
        <v>960</v>
      </c>
      <c r="D566" s="64">
        <v>5305</v>
      </c>
      <c r="E566" s="195" t="s">
        <v>373</v>
      </c>
      <c r="F566" s="71" t="s">
        <v>508</v>
      </c>
      <c r="G566" s="71" t="s">
        <v>911</v>
      </c>
      <c r="H566" s="71" t="s">
        <v>397</v>
      </c>
    </row>
    <row r="567" spans="1:8" ht="43.5" x14ac:dyDescent="0.35">
      <c r="A567" s="195">
        <v>3</v>
      </c>
      <c r="B567" s="195">
        <v>68</v>
      </c>
      <c r="C567" s="195" t="s">
        <v>961</v>
      </c>
      <c r="D567" s="195">
        <v>705</v>
      </c>
      <c r="E567" s="195" t="s">
        <v>373</v>
      </c>
      <c r="F567" s="71" t="s">
        <v>508</v>
      </c>
      <c r="G567" s="71" t="s">
        <v>911</v>
      </c>
      <c r="H567" s="71" t="s">
        <v>406</v>
      </c>
    </row>
    <row r="568" spans="1:8" ht="43.5" x14ac:dyDescent="0.35">
      <c r="A568" s="195">
        <v>3</v>
      </c>
      <c r="B568" s="195">
        <v>69</v>
      </c>
      <c r="C568" s="195" t="s">
        <v>962</v>
      </c>
      <c r="D568" s="195">
        <v>260</v>
      </c>
      <c r="E568" s="195" t="s">
        <v>373</v>
      </c>
      <c r="F568" s="71" t="s">
        <v>508</v>
      </c>
      <c r="G568" s="71" t="s">
        <v>911</v>
      </c>
      <c r="H568" s="71" t="s">
        <v>415</v>
      </c>
    </row>
    <row r="569" spans="1:8" ht="58" x14ac:dyDescent="0.35">
      <c r="A569" s="195">
        <v>3</v>
      </c>
      <c r="B569" s="195">
        <v>70</v>
      </c>
      <c r="C569" s="195" t="s">
        <v>963</v>
      </c>
      <c r="D569" s="64">
        <v>114450</v>
      </c>
      <c r="E569" s="195" t="s">
        <v>366</v>
      </c>
      <c r="F569" s="71" t="s">
        <v>508</v>
      </c>
      <c r="G569" s="71" t="s">
        <v>918</v>
      </c>
      <c r="H569" s="71" t="s">
        <v>363</v>
      </c>
    </row>
    <row r="570" spans="1:8" ht="58" x14ac:dyDescent="0.35">
      <c r="A570" s="195">
        <v>3</v>
      </c>
      <c r="B570" s="195">
        <v>71</v>
      </c>
      <c r="C570" s="195" t="s">
        <v>964</v>
      </c>
      <c r="D570" s="64">
        <v>24300</v>
      </c>
      <c r="E570" s="195" t="s">
        <v>373</v>
      </c>
      <c r="F570" s="71" t="s">
        <v>508</v>
      </c>
      <c r="G570" s="71" t="s">
        <v>918</v>
      </c>
      <c r="H570" s="71" t="s">
        <v>371</v>
      </c>
    </row>
    <row r="571" spans="1:8" ht="58" x14ac:dyDescent="0.35">
      <c r="A571" s="195">
        <v>3</v>
      </c>
      <c r="B571" s="195">
        <v>72</v>
      </c>
      <c r="C571" s="195" t="s">
        <v>965</v>
      </c>
      <c r="D571" s="64">
        <v>46040</v>
      </c>
      <c r="E571" s="195" t="s">
        <v>373</v>
      </c>
      <c r="F571" s="71" t="s">
        <v>508</v>
      </c>
      <c r="G571" s="71" t="s">
        <v>918</v>
      </c>
      <c r="H571" s="71" t="s">
        <v>388</v>
      </c>
    </row>
    <row r="572" spans="1:8" ht="58" x14ac:dyDescent="0.35">
      <c r="A572" s="195">
        <v>3</v>
      </c>
      <c r="B572" s="195">
        <v>73</v>
      </c>
      <c r="C572" s="195" t="s">
        <v>966</v>
      </c>
      <c r="D572" s="64">
        <v>28635</v>
      </c>
      <c r="E572" s="195" t="s">
        <v>373</v>
      </c>
      <c r="F572" s="71" t="s">
        <v>508</v>
      </c>
      <c r="G572" s="71" t="s">
        <v>918</v>
      </c>
      <c r="H572" s="71" t="s">
        <v>397</v>
      </c>
    </row>
    <row r="573" spans="1:8" ht="58" x14ac:dyDescent="0.35">
      <c r="A573" s="195">
        <v>3</v>
      </c>
      <c r="B573" s="195">
        <v>74</v>
      </c>
      <c r="C573" s="195" t="s">
        <v>967</v>
      </c>
      <c r="D573" s="64">
        <v>8085</v>
      </c>
      <c r="E573" s="195" t="s">
        <v>373</v>
      </c>
      <c r="F573" s="71" t="s">
        <v>508</v>
      </c>
      <c r="G573" s="71" t="s">
        <v>918</v>
      </c>
      <c r="H573" s="71" t="s">
        <v>406</v>
      </c>
    </row>
    <row r="574" spans="1:8" ht="58" x14ac:dyDescent="0.35">
      <c r="A574" s="195">
        <v>3</v>
      </c>
      <c r="B574" s="195">
        <v>75</v>
      </c>
      <c r="C574" s="195" t="s">
        <v>968</v>
      </c>
      <c r="D574" s="64">
        <v>7390</v>
      </c>
      <c r="E574" s="195" t="s">
        <v>373</v>
      </c>
      <c r="F574" s="71" t="s">
        <v>508</v>
      </c>
      <c r="G574" s="71" t="s">
        <v>918</v>
      </c>
      <c r="H574" s="71" t="s">
        <v>415</v>
      </c>
    </row>
    <row r="575" spans="1:8" ht="43.5" x14ac:dyDescent="0.35">
      <c r="A575" s="195">
        <v>3</v>
      </c>
      <c r="B575" s="195">
        <v>76</v>
      </c>
      <c r="C575" s="195" t="s">
        <v>969</v>
      </c>
      <c r="D575" s="64">
        <v>21310</v>
      </c>
      <c r="E575" s="195" t="s">
        <v>366</v>
      </c>
      <c r="F575" s="71" t="s">
        <v>508</v>
      </c>
      <c r="G575" s="71" t="s">
        <v>925</v>
      </c>
      <c r="H575" s="71" t="s">
        <v>363</v>
      </c>
    </row>
    <row r="576" spans="1:8" ht="43.5" x14ac:dyDescent="0.35">
      <c r="A576" s="195">
        <v>3</v>
      </c>
      <c r="B576" s="195">
        <v>77</v>
      </c>
      <c r="C576" s="195" t="s">
        <v>970</v>
      </c>
      <c r="D576" s="64">
        <v>21310</v>
      </c>
      <c r="E576" s="195" t="s">
        <v>373</v>
      </c>
      <c r="F576" s="71" t="s">
        <v>508</v>
      </c>
      <c r="G576" s="71" t="s">
        <v>925</v>
      </c>
      <c r="H576" s="71" t="s">
        <v>371</v>
      </c>
    </row>
    <row r="577" spans="1:9" ht="43.5" x14ac:dyDescent="0.35">
      <c r="A577" s="195">
        <v>3</v>
      </c>
      <c r="B577" s="195">
        <v>78</v>
      </c>
      <c r="C577" s="195" t="s">
        <v>971</v>
      </c>
      <c r="D577" s="195">
        <v>0</v>
      </c>
      <c r="E577" s="195" t="s">
        <v>373</v>
      </c>
      <c r="F577" s="71" t="s">
        <v>508</v>
      </c>
      <c r="G577" s="71" t="s">
        <v>925</v>
      </c>
      <c r="H577" s="71" t="s">
        <v>388</v>
      </c>
    </row>
    <row r="578" spans="1:9" ht="43.5" x14ac:dyDescent="0.35">
      <c r="A578" s="195">
        <v>3</v>
      </c>
      <c r="B578" s="195">
        <v>79</v>
      </c>
      <c r="C578" s="195" t="s">
        <v>972</v>
      </c>
      <c r="D578" s="195">
        <v>0</v>
      </c>
      <c r="E578" s="195" t="s">
        <v>373</v>
      </c>
      <c r="F578" s="71" t="s">
        <v>508</v>
      </c>
      <c r="G578" s="71" t="s">
        <v>925</v>
      </c>
      <c r="H578" s="71" t="s">
        <v>397</v>
      </c>
    </row>
    <row r="579" spans="1:9" ht="43.5" x14ac:dyDescent="0.35">
      <c r="A579" s="195">
        <v>3</v>
      </c>
      <c r="B579" s="195">
        <v>80</v>
      </c>
      <c r="C579" s="195" t="s">
        <v>973</v>
      </c>
      <c r="D579" s="195">
        <v>0</v>
      </c>
      <c r="E579" s="195" t="s">
        <v>373</v>
      </c>
      <c r="F579" s="71" t="s">
        <v>508</v>
      </c>
      <c r="G579" s="71" t="s">
        <v>925</v>
      </c>
      <c r="H579" s="71" t="s">
        <v>406</v>
      </c>
    </row>
    <row r="580" spans="1:9" ht="43.5" x14ac:dyDescent="0.35">
      <c r="A580" s="195">
        <v>3</v>
      </c>
      <c r="B580" s="195">
        <v>81</v>
      </c>
      <c r="C580" s="195" t="s">
        <v>974</v>
      </c>
      <c r="D580" s="195">
        <v>0</v>
      </c>
      <c r="E580" s="195" t="s">
        <v>373</v>
      </c>
      <c r="F580" s="71" t="s">
        <v>508</v>
      </c>
      <c r="G580" s="71" t="s">
        <v>925</v>
      </c>
      <c r="H580" s="71" t="s">
        <v>415</v>
      </c>
    </row>
    <row r="581" spans="1:9" ht="43.5" x14ac:dyDescent="0.35">
      <c r="A581" s="195">
        <v>3</v>
      </c>
      <c r="B581" s="195">
        <v>82</v>
      </c>
      <c r="C581" s="195" t="s">
        <v>975</v>
      </c>
      <c r="D581" s="64">
        <v>272635</v>
      </c>
      <c r="E581" s="195" t="s">
        <v>366</v>
      </c>
      <c r="F581" s="71" t="s">
        <v>508</v>
      </c>
      <c r="G581" s="71" t="s">
        <v>932</v>
      </c>
      <c r="H581" s="71" t="s">
        <v>363</v>
      </c>
    </row>
    <row r="582" spans="1:9" ht="43.5" x14ac:dyDescent="0.35">
      <c r="A582" s="195">
        <v>3</v>
      </c>
      <c r="B582" s="195">
        <v>83</v>
      </c>
      <c r="C582" s="195" t="s">
        <v>976</v>
      </c>
      <c r="D582" s="64">
        <v>22860</v>
      </c>
      <c r="E582" s="195" t="s">
        <v>373</v>
      </c>
      <c r="F582" s="71" t="s">
        <v>508</v>
      </c>
      <c r="G582" s="71" t="s">
        <v>932</v>
      </c>
      <c r="H582" s="71" t="s">
        <v>371</v>
      </c>
    </row>
    <row r="583" spans="1:9" ht="43.5" x14ac:dyDescent="0.35">
      <c r="A583" s="195">
        <v>3</v>
      </c>
      <c r="B583" s="195">
        <v>84</v>
      </c>
      <c r="C583" s="195" t="s">
        <v>977</v>
      </c>
      <c r="D583" s="64">
        <v>21650</v>
      </c>
      <c r="E583" s="195" t="s">
        <v>373</v>
      </c>
      <c r="F583" s="71" t="s">
        <v>508</v>
      </c>
      <c r="G583" s="71" t="s">
        <v>932</v>
      </c>
      <c r="H583" s="71" t="s">
        <v>388</v>
      </c>
    </row>
    <row r="584" spans="1:9" ht="43.5" x14ac:dyDescent="0.35">
      <c r="A584" s="195">
        <v>3</v>
      </c>
      <c r="B584" s="195">
        <v>85</v>
      </c>
      <c r="C584" s="195" t="s">
        <v>978</v>
      </c>
      <c r="D584" s="64">
        <v>58850</v>
      </c>
      <c r="E584" s="195" t="s">
        <v>373</v>
      </c>
      <c r="F584" s="71" t="s">
        <v>508</v>
      </c>
      <c r="G584" s="71" t="s">
        <v>932</v>
      </c>
      <c r="H584" s="71" t="s">
        <v>397</v>
      </c>
    </row>
    <row r="585" spans="1:9" ht="43.5" x14ac:dyDescent="0.35">
      <c r="A585" s="195">
        <v>3</v>
      </c>
      <c r="B585" s="195">
        <v>86</v>
      </c>
      <c r="C585" s="195" t="s">
        <v>979</v>
      </c>
      <c r="D585" s="64">
        <v>34705</v>
      </c>
      <c r="E585" s="195" t="s">
        <v>373</v>
      </c>
      <c r="F585" s="71" t="s">
        <v>508</v>
      </c>
      <c r="G585" s="71" t="s">
        <v>932</v>
      </c>
      <c r="H585" s="71" t="s">
        <v>406</v>
      </c>
    </row>
    <row r="586" spans="1:9" ht="43.5" x14ac:dyDescent="0.35">
      <c r="A586" s="195">
        <v>3</v>
      </c>
      <c r="B586" s="195">
        <v>87</v>
      </c>
      <c r="C586" s="195" t="s">
        <v>980</v>
      </c>
      <c r="D586" s="64">
        <v>134565</v>
      </c>
      <c r="E586" s="195" t="s">
        <v>373</v>
      </c>
      <c r="F586" s="71" t="s">
        <v>508</v>
      </c>
      <c r="G586" s="71" t="s">
        <v>932</v>
      </c>
      <c r="H586" s="71" t="s">
        <v>415</v>
      </c>
    </row>
    <row r="587" spans="1:9" ht="29" x14ac:dyDescent="0.35">
      <c r="A587" s="195">
        <v>4</v>
      </c>
      <c r="B587" s="195">
        <v>1</v>
      </c>
      <c r="C587" s="195" t="s">
        <v>981</v>
      </c>
      <c r="D587" s="64">
        <v>1042580</v>
      </c>
      <c r="E587" s="195" t="s">
        <v>26</v>
      </c>
      <c r="F587" s="71" t="s">
        <v>361</v>
      </c>
      <c r="G587" s="71" t="s">
        <v>362</v>
      </c>
      <c r="H587" s="71" t="s">
        <v>982</v>
      </c>
      <c r="I587" s="71" t="s">
        <v>983</v>
      </c>
    </row>
    <row r="588" spans="1:9" x14ac:dyDescent="0.35">
      <c r="A588" s="195">
        <v>4</v>
      </c>
      <c r="B588" s="195">
        <v>2</v>
      </c>
      <c r="C588" s="195" t="s">
        <v>984</v>
      </c>
      <c r="D588" s="64">
        <v>459890</v>
      </c>
      <c r="E588" s="195" t="s">
        <v>366</v>
      </c>
      <c r="F588" s="71" t="s">
        <v>367</v>
      </c>
      <c r="G588" s="71" t="s">
        <v>362</v>
      </c>
      <c r="H588" s="71" t="s">
        <v>982</v>
      </c>
      <c r="I588" s="71" t="s">
        <v>983</v>
      </c>
    </row>
    <row r="589" spans="1:9" ht="29" x14ac:dyDescent="0.35">
      <c r="A589" s="195">
        <v>4</v>
      </c>
      <c r="B589" s="195">
        <v>3</v>
      </c>
      <c r="C589" s="195" t="s">
        <v>985</v>
      </c>
      <c r="D589" s="64">
        <v>158520</v>
      </c>
      <c r="E589" s="195" t="s">
        <v>366</v>
      </c>
      <c r="F589" s="71" t="s">
        <v>367</v>
      </c>
      <c r="G589" s="71" t="s">
        <v>986</v>
      </c>
      <c r="H589" s="71" t="s">
        <v>982</v>
      </c>
      <c r="I589" s="71" t="s">
        <v>983</v>
      </c>
    </row>
    <row r="590" spans="1:9" ht="29" x14ac:dyDescent="0.35">
      <c r="A590" s="195">
        <v>4</v>
      </c>
      <c r="B590" s="195">
        <v>4</v>
      </c>
      <c r="C590" s="195" t="s">
        <v>987</v>
      </c>
      <c r="D590" s="64">
        <v>33490</v>
      </c>
      <c r="E590" s="195" t="s">
        <v>366</v>
      </c>
      <c r="F590" s="71" t="s">
        <v>367</v>
      </c>
      <c r="G590" s="71" t="s">
        <v>986</v>
      </c>
      <c r="H590" s="71" t="s">
        <v>988</v>
      </c>
      <c r="I590" s="71" t="s">
        <v>983</v>
      </c>
    </row>
    <row r="591" spans="1:9" ht="29" x14ac:dyDescent="0.35">
      <c r="A591" s="195">
        <v>4</v>
      </c>
      <c r="B591" s="195">
        <v>5</v>
      </c>
      <c r="C591" s="195" t="s">
        <v>989</v>
      </c>
      <c r="D591" s="64">
        <v>26955</v>
      </c>
      <c r="E591" s="195" t="s">
        <v>373</v>
      </c>
      <c r="F591" s="71" t="s">
        <v>367</v>
      </c>
      <c r="G591" s="71" t="s">
        <v>986</v>
      </c>
      <c r="H591" s="71" t="s">
        <v>988</v>
      </c>
      <c r="I591" s="71" t="s">
        <v>990</v>
      </c>
    </row>
    <row r="592" spans="1:9" ht="29" x14ac:dyDescent="0.35">
      <c r="A592" s="195">
        <v>4</v>
      </c>
      <c r="B592" s="195">
        <v>6</v>
      </c>
      <c r="C592" s="195" t="s">
        <v>991</v>
      </c>
      <c r="D592" s="64">
        <v>6535</v>
      </c>
      <c r="E592" s="195" t="s">
        <v>373</v>
      </c>
      <c r="F592" s="71" t="s">
        <v>367</v>
      </c>
      <c r="G592" s="71" t="s">
        <v>986</v>
      </c>
      <c r="H592" s="71" t="s">
        <v>988</v>
      </c>
      <c r="I592" s="71" t="s">
        <v>992</v>
      </c>
    </row>
    <row r="593" spans="1:9" ht="29" x14ac:dyDescent="0.35">
      <c r="A593" s="195">
        <v>4</v>
      </c>
      <c r="B593" s="195">
        <v>7</v>
      </c>
      <c r="C593" s="195" t="s">
        <v>993</v>
      </c>
      <c r="D593" s="64">
        <v>61720</v>
      </c>
      <c r="E593" s="195" t="s">
        <v>366</v>
      </c>
      <c r="F593" s="71" t="s">
        <v>367</v>
      </c>
      <c r="G593" s="71" t="s">
        <v>986</v>
      </c>
      <c r="H593" s="71" t="s">
        <v>994</v>
      </c>
      <c r="I593" s="71" t="s">
        <v>983</v>
      </c>
    </row>
    <row r="594" spans="1:9" ht="29" x14ac:dyDescent="0.35">
      <c r="A594" s="195">
        <v>4</v>
      </c>
      <c r="B594" s="195">
        <v>8</v>
      </c>
      <c r="C594" s="195" t="s">
        <v>995</v>
      </c>
      <c r="D594" s="64">
        <v>44275</v>
      </c>
      <c r="E594" s="195" t="s">
        <v>373</v>
      </c>
      <c r="F594" s="71" t="s">
        <v>367</v>
      </c>
      <c r="G594" s="71" t="s">
        <v>986</v>
      </c>
      <c r="H594" s="71" t="s">
        <v>994</v>
      </c>
      <c r="I594" s="71" t="s">
        <v>990</v>
      </c>
    </row>
    <row r="595" spans="1:9" ht="29" x14ac:dyDescent="0.35">
      <c r="A595" s="195">
        <v>4</v>
      </c>
      <c r="B595" s="195">
        <v>9</v>
      </c>
      <c r="C595" s="195" t="s">
        <v>996</v>
      </c>
      <c r="D595" s="64">
        <v>17440</v>
      </c>
      <c r="E595" s="195" t="s">
        <v>373</v>
      </c>
      <c r="F595" s="71" t="s">
        <v>367</v>
      </c>
      <c r="G595" s="71" t="s">
        <v>986</v>
      </c>
      <c r="H595" s="71" t="s">
        <v>994</v>
      </c>
      <c r="I595" s="71" t="s">
        <v>992</v>
      </c>
    </row>
    <row r="596" spans="1:9" ht="29" x14ac:dyDescent="0.35">
      <c r="A596" s="195">
        <v>4</v>
      </c>
      <c r="B596" s="195">
        <v>10</v>
      </c>
      <c r="C596" s="195" t="s">
        <v>997</v>
      </c>
      <c r="D596" s="64">
        <v>63310</v>
      </c>
      <c r="E596" s="195" t="s">
        <v>366</v>
      </c>
      <c r="F596" s="71" t="s">
        <v>367</v>
      </c>
      <c r="G596" s="71" t="s">
        <v>986</v>
      </c>
      <c r="H596" s="71" t="s">
        <v>998</v>
      </c>
      <c r="I596" s="71" t="s">
        <v>983</v>
      </c>
    </row>
    <row r="597" spans="1:9" ht="29" x14ac:dyDescent="0.35">
      <c r="A597" s="195">
        <v>4</v>
      </c>
      <c r="B597" s="195">
        <v>11</v>
      </c>
      <c r="C597" s="195" t="s">
        <v>999</v>
      </c>
      <c r="D597" s="64">
        <v>63225</v>
      </c>
      <c r="E597" s="195" t="s">
        <v>373</v>
      </c>
      <c r="F597" s="71" t="s">
        <v>367</v>
      </c>
      <c r="G597" s="71" t="s">
        <v>986</v>
      </c>
      <c r="H597" s="71" t="s">
        <v>998</v>
      </c>
      <c r="I597" s="71" t="s">
        <v>990</v>
      </c>
    </row>
    <row r="598" spans="1:9" ht="29" x14ac:dyDescent="0.35">
      <c r="A598" s="195">
        <v>4</v>
      </c>
      <c r="B598" s="195">
        <v>12</v>
      </c>
      <c r="C598" s="195" t="s">
        <v>1000</v>
      </c>
      <c r="D598" s="195">
        <v>85</v>
      </c>
      <c r="E598" s="195" t="s">
        <v>373</v>
      </c>
      <c r="F598" s="71" t="s">
        <v>367</v>
      </c>
      <c r="G598" s="71" t="s">
        <v>986</v>
      </c>
      <c r="H598" s="71" t="s">
        <v>998</v>
      </c>
      <c r="I598" s="71" t="s">
        <v>992</v>
      </c>
    </row>
    <row r="599" spans="1:9" ht="29" x14ac:dyDescent="0.35">
      <c r="A599" s="195">
        <v>4</v>
      </c>
      <c r="B599" s="195">
        <v>13</v>
      </c>
      <c r="C599" s="195" t="s">
        <v>1001</v>
      </c>
      <c r="D599" s="64">
        <v>296825</v>
      </c>
      <c r="E599" s="195" t="s">
        <v>366</v>
      </c>
      <c r="F599" s="71" t="s">
        <v>367</v>
      </c>
      <c r="G599" s="71" t="s">
        <v>424</v>
      </c>
      <c r="H599" s="71" t="s">
        <v>982</v>
      </c>
      <c r="I599" s="71" t="s">
        <v>983</v>
      </c>
    </row>
    <row r="600" spans="1:9" ht="29" x14ac:dyDescent="0.35">
      <c r="A600" s="195">
        <v>4</v>
      </c>
      <c r="B600" s="195">
        <v>14</v>
      </c>
      <c r="C600" s="195" t="s">
        <v>1002</v>
      </c>
      <c r="D600" s="64">
        <v>46975</v>
      </c>
      <c r="E600" s="195" t="s">
        <v>366</v>
      </c>
      <c r="F600" s="71" t="s">
        <v>367</v>
      </c>
      <c r="G600" s="71" t="s">
        <v>424</v>
      </c>
      <c r="H600" s="71" t="s">
        <v>988</v>
      </c>
      <c r="I600" s="71" t="s">
        <v>983</v>
      </c>
    </row>
    <row r="601" spans="1:9" ht="29" x14ac:dyDescent="0.35">
      <c r="A601" s="195">
        <v>4</v>
      </c>
      <c r="B601" s="195">
        <v>15</v>
      </c>
      <c r="C601" s="195" t="s">
        <v>1003</v>
      </c>
      <c r="D601" s="64">
        <v>40020</v>
      </c>
      <c r="E601" s="195" t="s">
        <v>373</v>
      </c>
      <c r="F601" s="71" t="s">
        <v>367</v>
      </c>
      <c r="G601" s="71" t="s">
        <v>424</v>
      </c>
      <c r="H601" s="71" t="s">
        <v>988</v>
      </c>
      <c r="I601" s="71" t="s">
        <v>990</v>
      </c>
    </row>
    <row r="602" spans="1:9" ht="29" x14ac:dyDescent="0.35">
      <c r="A602" s="195">
        <v>4</v>
      </c>
      <c r="B602" s="195">
        <v>16</v>
      </c>
      <c r="C602" s="195" t="s">
        <v>1004</v>
      </c>
      <c r="D602" s="64">
        <v>6950</v>
      </c>
      <c r="E602" s="195" t="s">
        <v>373</v>
      </c>
      <c r="F602" s="71" t="s">
        <v>367</v>
      </c>
      <c r="G602" s="71" t="s">
        <v>424</v>
      </c>
      <c r="H602" s="71" t="s">
        <v>988</v>
      </c>
      <c r="I602" s="71" t="s">
        <v>992</v>
      </c>
    </row>
    <row r="603" spans="1:9" ht="29" x14ac:dyDescent="0.35">
      <c r="A603" s="195">
        <v>4</v>
      </c>
      <c r="B603" s="195">
        <v>17</v>
      </c>
      <c r="C603" s="195" t="s">
        <v>1005</v>
      </c>
      <c r="D603" s="64">
        <v>160485</v>
      </c>
      <c r="E603" s="195" t="s">
        <v>366</v>
      </c>
      <c r="F603" s="71" t="s">
        <v>367</v>
      </c>
      <c r="G603" s="71" t="s">
        <v>424</v>
      </c>
      <c r="H603" s="71" t="s">
        <v>994</v>
      </c>
      <c r="I603" s="71" t="s">
        <v>983</v>
      </c>
    </row>
    <row r="604" spans="1:9" ht="29" x14ac:dyDescent="0.35">
      <c r="A604" s="195">
        <v>4</v>
      </c>
      <c r="B604" s="195">
        <v>18</v>
      </c>
      <c r="C604" s="195" t="s">
        <v>1006</v>
      </c>
      <c r="D604" s="64">
        <v>136185</v>
      </c>
      <c r="E604" s="195" t="s">
        <v>373</v>
      </c>
      <c r="F604" s="71" t="s">
        <v>367</v>
      </c>
      <c r="G604" s="71" t="s">
        <v>424</v>
      </c>
      <c r="H604" s="71" t="s">
        <v>994</v>
      </c>
      <c r="I604" s="71" t="s">
        <v>990</v>
      </c>
    </row>
    <row r="605" spans="1:9" ht="29" x14ac:dyDescent="0.35">
      <c r="A605" s="195">
        <v>4</v>
      </c>
      <c r="B605" s="195">
        <v>19</v>
      </c>
      <c r="C605" s="195" t="s">
        <v>1007</v>
      </c>
      <c r="D605" s="64">
        <v>24300</v>
      </c>
      <c r="E605" s="195" t="s">
        <v>373</v>
      </c>
      <c r="F605" s="71" t="s">
        <v>367</v>
      </c>
      <c r="G605" s="71" t="s">
        <v>424</v>
      </c>
      <c r="H605" s="71" t="s">
        <v>994</v>
      </c>
      <c r="I605" s="71" t="s">
        <v>992</v>
      </c>
    </row>
    <row r="606" spans="1:9" ht="29" x14ac:dyDescent="0.35">
      <c r="A606" s="195">
        <v>4</v>
      </c>
      <c r="B606" s="195">
        <v>20</v>
      </c>
      <c r="C606" s="195" t="s">
        <v>1008</v>
      </c>
      <c r="D606" s="64">
        <v>89365</v>
      </c>
      <c r="E606" s="195" t="s">
        <v>366</v>
      </c>
      <c r="F606" s="71" t="s">
        <v>367</v>
      </c>
      <c r="G606" s="71" t="s">
        <v>424</v>
      </c>
      <c r="H606" s="71" t="s">
        <v>998</v>
      </c>
      <c r="I606" s="71" t="s">
        <v>983</v>
      </c>
    </row>
    <row r="607" spans="1:9" ht="29" x14ac:dyDescent="0.35">
      <c r="A607" s="195">
        <v>4</v>
      </c>
      <c r="B607" s="195">
        <v>21</v>
      </c>
      <c r="C607" s="195" t="s">
        <v>1009</v>
      </c>
      <c r="D607" s="64">
        <v>89135</v>
      </c>
      <c r="E607" s="195" t="s">
        <v>373</v>
      </c>
      <c r="F607" s="71" t="s">
        <v>367</v>
      </c>
      <c r="G607" s="71" t="s">
        <v>424</v>
      </c>
      <c r="H607" s="71" t="s">
        <v>998</v>
      </c>
      <c r="I607" s="71" t="s">
        <v>990</v>
      </c>
    </row>
    <row r="608" spans="1:9" ht="29" x14ac:dyDescent="0.35">
      <c r="A608" s="195">
        <v>4</v>
      </c>
      <c r="B608" s="195">
        <v>22</v>
      </c>
      <c r="C608" s="195" t="s">
        <v>1010</v>
      </c>
      <c r="D608" s="195">
        <v>230</v>
      </c>
      <c r="E608" s="195" t="s">
        <v>373</v>
      </c>
      <c r="F608" s="71" t="s">
        <v>367</v>
      </c>
      <c r="G608" s="71" t="s">
        <v>424</v>
      </c>
      <c r="H608" s="71" t="s">
        <v>998</v>
      </c>
      <c r="I608" s="71" t="s">
        <v>992</v>
      </c>
    </row>
    <row r="609" spans="1:9" ht="43.5" x14ac:dyDescent="0.35">
      <c r="A609" s="195">
        <v>4</v>
      </c>
      <c r="B609" s="195">
        <v>23</v>
      </c>
      <c r="C609" s="195" t="s">
        <v>1011</v>
      </c>
      <c r="D609" s="64">
        <v>4550</v>
      </c>
      <c r="E609" s="195" t="s">
        <v>366</v>
      </c>
      <c r="F609" s="71" t="s">
        <v>367</v>
      </c>
      <c r="G609" s="71" t="s">
        <v>466</v>
      </c>
      <c r="H609" s="71" t="s">
        <v>982</v>
      </c>
      <c r="I609" s="71" t="s">
        <v>983</v>
      </c>
    </row>
    <row r="610" spans="1:9" ht="58" x14ac:dyDescent="0.35">
      <c r="A610" s="195">
        <v>4</v>
      </c>
      <c r="B610" s="195">
        <v>24</v>
      </c>
      <c r="C610" s="195" t="s">
        <v>1012</v>
      </c>
      <c r="D610" s="64">
        <v>820</v>
      </c>
      <c r="E610" s="195" t="s">
        <v>366</v>
      </c>
      <c r="F610" s="71" t="s">
        <v>367</v>
      </c>
      <c r="G610" s="71" t="s">
        <v>1013</v>
      </c>
      <c r="H610" s="71" t="s">
        <v>988</v>
      </c>
      <c r="I610" s="71" t="s">
        <v>983</v>
      </c>
    </row>
    <row r="611" spans="1:9" ht="58" x14ac:dyDescent="0.35">
      <c r="A611" s="195">
        <v>4</v>
      </c>
      <c r="B611" s="195">
        <v>25</v>
      </c>
      <c r="C611" s="195" t="s">
        <v>1014</v>
      </c>
      <c r="D611" s="64">
        <v>745</v>
      </c>
      <c r="E611" s="195" t="s">
        <v>373</v>
      </c>
      <c r="F611" s="71" t="s">
        <v>367</v>
      </c>
      <c r="G611" s="71" t="s">
        <v>1013</v>
      </c>
      <c r="H611" s="71" t="s">
        <v>988</v>
      </c>
      <c r="I611" s="71" t="s">
        <v>990</v>
      </c>
    </row>
    <row r="612" spans="1:9" ht="58" x14ac:dyDescent="0.35">
      <c r="A612" s="195">
        <v>4</v>
      </c>
      <c r="B612" s="195">
        <v>26</v>
      </c>
      <c r="C612" s="195" t="s">
        <v>1015</v>
      </c>
      <c r="D612" s="195">
        <v>75</v>
      </c>
      <c r="E612" s="195" t="s">
        <v>373</v>
      </c>
      <c r="F612" s="71" t="s">
        <v>367</v>
      </c>
      <c r="G612" s="71" t="s">
        <v>1013</v>
      </c>
      <c r="H612" s="71" t="s">
        <v>988</v>
      </c>
      <c r="I612" s="71" t="s">
        <v>992</v>
      </c>
    </row>
    <row r="613" spans="1:9" ht="58" x14ac:dyDescent="0.35">
      <c r="A613" s="195">
        <v>4</v>
      </c>
      <c r="B613" s="195">
        <v>27</v>
      </c>
      <c r="C613" s="195" t="s">
        <v>1016</v>
      </c>
      <c r="D613" s="64">
        <v>605</v>
      </c>
      <c r="E613" s="195" t="s">
        <v>366</v>
      </c>
      <c r="F613" s="71" t="s">
        <v>367</v>
      </c>
      <c r="G613" s="71" t="s">
        <v>1013</v>
      </c>
      <c r="H613" s="71" t="s">
        <v>994</v>
      </c>
      <c r="I613" s="71" t="s">
        <v>983</v>
      </c>
    </row>
    <row r="614" spans="1:9" ht="58" x14ac:dyDescent="0.35">
      <c r="A614" s="195">
        <v>4</v>
      </c>
      <c r="B614" s="195">
        <v>28</v>
      </c>
      <c r="C614" s="195" t="s">
        <v>1017</v>
      </c>
      <c r="D614" s="64">
        <v>570</v>
      </c>
      <c r="E614" s="195" t="s">
        <v>373</v>
      </c>
      <c r="F614" s="71" t="s">
        <v>367</v>
      </c>
      <c r="G614" s="71" t="s">
        <v>1013</v>
      </c>
      <c r="H614" s="71" t="s">
        <v>994</v>
      </c>
      <c r="I614" s="71" t="s">
        <v>990</v>
      </c>
    </row>
    <row r="615" spans="1:9" ht="58" x14ac:dyDescent="0.35">
      <c r="A615" s="195">
        <v>4</v>
      </c>
      <c r="B615" s="195">
        <v>29</v>
      </c>
      <c r="C615" s="195" t="s">
        <v>1018</v>
      </c>
      <c r="D615" s="195">
        <v>30</v>
      </c>
      <c r="E615" s="195" t="s">
        <v>373</v>
      </c>
      <c r="F615" s="71" t="s">
        <v>367</v>
      </c>
      <c r="G615" s="71" t="s">
        <v>1013</v>
      </c>
      <c r="H615" s="71" t="s">
        <v>994</v>
      </c>
      <c r="I615" s="71" t="s">
        <v>992</v>
      </c>
    </row>
    <row r="616" spans="1:9" ht="58" x14ac:dyDescent="0.35">
      <c r="A616" s="195">
        <v>4</v>
      </c>
      <c r="B616" s="195">
        <v>30</v>
      </c>
      <c r="C616" s="195" t="s">
        <v>1019</v>
      </c>
      <c r="D616" s="64">
        <v>3125</v>
      </c>
      <c r="E616" s="195" t="s">
        <v>366</v>
      </c>
      <c r="F616" s="71" t="s">
        <v>367</v>
      </c>
      <c r="G616" s="71" t="s">
        <v>1013</v>
      </c>
      <c r="H616" s="71" t="s">
        <v>998</v>
      </c>
      <c r="I616" s="71" t="s">
        <v>983</v>
      </c>
    </row>
    <row r="617" spans="1:9" ht="58" x14ac:dyDescent="0.35">
      <c r="A617" s="195">
        <v>4</v>
      </c>
      <c r="B617" s="195">
        <v>31</v>
      </c>
      <c r="C617" s="195" t="s">
        <v>1020</v>
      </c>
      <c r="D617" s="64">
        <v>3125</v>
      </c>
      <c r="E617" s="195" t="s">
        <v>373</v>
      </c>
      <c r="F617" s="71" t="s">
        <v>367</v>
      </c>
      <c r="G617" s="71" t="s">
        <v>1013</v>
      </c>
      <c r="H617" s="71" t="s">
        <v>998</v>
      </c>
      <c r="I617" s="71" t="s">
        <v>990</v>
      </c>
    </row>
    <row r="618" spans="1:9" ht="58" x14ac:dyDescent="0.35">
      <c r="A618" s="195">
        <v>4</v>
      </c>
      <c r="B618" s="195">
        <v>32</v>
      </c>
      <c r="C618" s="195" t="s">
        <v>1021</v>
      </c>
      <c r="D618" s="195">
        <v>0</v>
      </c>
      <c r="E618" s="195" t="s">
        <v>373</v>
      </c>
      <c r="F618" s="71" t="s">
        <v>367</v>
      </c>
      <c r="G618" s="71" t="s">
        <v>1013</v>
      </c>
      <c r="H618" s="71" t="s">
        <v>998</v>
      </c>
      <c r="I618" s="71" t="s">
        <v>992</v>
      </c>
    </row>
    <row r="619" spans="1:9" x14ac:dyDescent="0.35">
      <c r="A619" s="195">
        <v>4</v>
      </c>
      <c r="B619" s="195">
        <v>33</v>
      </c>
      <c r="C619" s="195" t="s">
        <v>1022</v>
      </c>
      <c r="D619" s="64">
        <v>582690</v>
      </c>
      <c r="E619" s="195" t="s">
        <v>366</v>
      </c>
      <c r="F619" s="71" t="s">
        <v>508</v>
      </c>
      <c r="G619" s="71" t="s">
        <v>362</v>
      </c>
      <c r="H619" s="71" t="s">
        <v>982</v>
      </c>
      <c r="I619" s="71" t="s">
        <v>983</v>
      </c>
    </row>
    <row r="620" spans="1:9" ht="29" x14ac:dyDescent="0.35">
      <c r="A620" s="195">
        <v>4</v>
      </c>
      <c r="B620" s="195">
        <v>34</v>
      </c>
      <c r="C620" s="195" t="s">
        <v>1023</v>
      </c>
      <c r="D620" s="64">
        <v>288745</v>
      </c>
      <c r="E620" s="195" t="s">
        <v>366</v>
      </c>
      <c r="F620" s="71" t="s">
        <v>508</v>
      </c>
      <c r="G620" s="71" t="s">
        <v>986</v>
      </c>
      <c r="H620" s="71" t="s">
        <v>982</v>
      </c>
      <c r="I620" s="71" t="s">
        <v>983</v>
      </c>
    </row>
    <row r="621" spans="1:9" ht="29" x14ac:dyDescent="0.35">
      <c r="A621" s="195">
        <v>4</v>
      </c>
      <c r="B621" s="195">
        <v>35</v>
      </c>
      <c r="C621" s="195" t="s">
        <v>1024</v>
      </c>
      <c r="D621" s="64">
        <v>87095</v>
      </c>
      <c r="E621" s="195" t="s">
        <v>366</v>
      </c>
      <c r="F621" s="71" t="s">
        <v>508</v>
      </c>
      <c r="G621" s="71" t="s">
        <v>986</v>
      </c>
      <c r="H621" s="71" t="s">
        <v>988</v>
      </c>
      <c r="I621" s="71" t="s">
        <v>983</v>
      </c>
    </row>
    <row r="622" spans="1:9" ht="29" x14ac:dyDescent="0.35">
      <c r="A622" s="195">
        <v>4</v>
      </c>
      <c r="B622" s="195">
        <v>36</v>
      </c>
      <c r="C622" s="195" t="s">
        <v>1025</v>
      </c>
      <c r="D622" s="64">
        <v>67490</v>
      </c>
      <c r="E622" s="195" t="s">
        <v>373</v>
      </c>
      <c r="F622" s="71" t="s">
        <v>508</v>
      </c>
      <c r="G622" s="71" t="s">
        <v>986</v>
      </c>
      <c r="H622" s="71" t="s">
        <v>988</v>
      </c>
      <c r="I622" s="71" t="s">
        <v>990</v>
      </c>
    </row>
    <row r="623" spans="1:9" ht="29" x14ac:dyDescent="0.35">
      <c r="A623" s="195">
        <v>4</v>
      </c>
      <c r="B623" s="195">
        <v>37</v>
      </c>
      <c r="C623" s="195" t="s">
        <v>1026</v>
      </c>
      <c r="D623" s="64">
        <v>19605</v>
      </c>
      <c r="E623" s="195" t="s">
        <v>373</v>
      </c>
      <c r="F623" s="71" t="s">
        <v>508</v>
      </c>
      <c r="G623" s="71" t="s">
        <v>986</v>
      </c>
      <c r="H623" s="71" t="s">
        <v>988</v>
      </c>
      <c r="I623" s="71" t="s">
        <v>992</v>
      </c>
    </row>
    <row r="624" spans="1:9" ht="29" x14ac:dyDescent="0.35">
      <c r="A624" s="195">
        <v>4</v>
      </c>
      <c r="B624" s="195">
        <v>38</v>
      </c>
      <c r="C624" s="195" t="s">
        <v>1027</v>
      </c>
      <c r="D624" s="64">
        <v>48775</v>
      </c>
      <c r="E624" s="195" t="s">
        <v>366</v>
      </c>
      <c r="F624" s="71" t="s">
        <v>508</v>
      </c>
      <c r="G624" s="71" t="s">
        <v>986</v>
      </c>
      <c r="H624" s="71" t="s">
        <v>994</v>
      </c>
      <c r="I624" s="71" t="s">
        <v>983</v>
      </c>
    </row>
    <row r="625" spans="1:9" ht="29" x14ac:dyDescent="0.35">
      <c r="A625" s="195">
        <v>4</v>
      </c>
      <c r="B625" s="195">
        <v>39</v>
      </c>
      <c r="C625" s="195" t="s">
        <v>1028</v>
      </c>
      <c r="D625" s="64">
        <v>32285</v>
      </c>
      <c r="E625" s="195" t="s">
        <v>373</v>
      </c>
      <c r="F625" s="71" t="s">
        <v>508</v>
      </c>
      <c r="G625" s="71" t="s">
        <v>986</v>
      </c>
      <c r="H625" s="71" t="s">
        <v>994</v>
      </c>
      <c r="I625" s="71" t="s">
        <v>990</v>
      </c>
    </row>
    <row r="626" spans="1:9" ht="29" x14ac:dyDescent="0.35">
      <c r="A626" s="195">
        <v>4</v>
      </c>
      <c r="B626" s="195">
        <v>40</v>
      </c>
      <c r="C626" s="195" t="s">
        <v>1029</v>
      </c>
      <c r="D626" s="64">
        <v>16495</v>
      </c>
      <c r="E626" s="195" t="s">
        <v>373</v>
      </c>
      <c r="F626" s="71" t="s">
        <v>508</v>
      </c>
      <c r="G626" s="71" t="s">
        <v>986</v>
      </c>
      <c r="H626" s="71" t="s">
        <v>994</v>
      </c>
      <c r="I626" s="71" t="s">
        <v>992</v>
      </c>
    </row>
    <row r="627" spans="1:9" ht="29" x14ac:dyDescent="0.35">
      <c r="A627" s="195">
        <v>4</v>
      </c>
      <c r="B627" s="195">
        <v>41</v>
      </c>
      <c r="C627" s="195" t="s">
        <v>1030</v>
      </c>
      <c r="D627" s="64">
        <v>152875</v>
      </c>
      <c r="E627" s="195" t="s">
        <v>366</v>
      </c>
      <c r="F627" s="71" t="s">
        <v>508</v>
      </c>
      <c r="G627" s="71" t="s">
        <v>986</v>
      </c>
      <c r="H627" s="71" t="s">
        <v>998</v>
      </c>
      <c r="I627" s="71" t="s">
        <v>983</v>
      </c>
    </row>
    <row r="628" spans="1:9" ht="29" x14ac:dyDescent="0.35">
      <c r="A628" s="195">
        <v>4</v>
      </c>
      <c r="B628" s="195">
        <v>42</v>
      </c>
      <c r="C628" s="195" t="s">
        <v>1031</v>
      </c>
      <c r="D628" s="64">
        <v>152295</v>
      </c>
      <c r="E628" s="195" t="s">
        <v>373</v>
      </c>
      <c r="F628" s="71" t="s">
        <v>508</v>
      </c>
      <c r="G628" s="71" t="s">
        <v>986</v>
      </c>
      <c r="H628" s="71" t="s">
        <v>998</v>
      </c>
      <c r="I628" s="71" t="s">
        <v>990</v>
      </c>
    </row>
    <row r="629" spans="1:9" ht="29" x14ac:dyDescent="0.35">
      <c r="A629" s="195">
        <v>4</v>
      </c>
      <c r="B629" s="195">
        <v>43</v>
      </c>
      <c r="C629" s="195" t="s">
        <v>1032</v>
      </c>
      <c r="D629" s="195">
        <v>580</v>
      </c>
      <c r="E629" s="195" t="s">
        <v>373</v>
      </c>
      <c r="F629" s="71" t="s">
        <v>508</v>
      </c>
      <c r="G629" s="71" t="s">
        <v>986</v>
      </c>
      <c r="H629" s="71" t="s">
        <v>998</v>
      </c>
      <c r="I629" s="71" t="s">
        <v>992</v>
      </c>
    </row>
    <row r="630" spans="1:9" ht="29" x14ac:dyDescent="0.35">
      <c r="A630" s="195">
        <v>4</v>
      </c>
      <c r="B630" s="195">
        <v>44</v>
      </c>
      <c r="C630" s="195" t="s">
        <v>1033</v>
      </c>
      <c r="D630" s="64">
        <v>272635</v>
      </c>
      <c r="E630" s="195" t="s">
        <v>366</v>
      </c>
      <c r="F630" s="71" t="s">
        <v>508</v>
      </c>
      <c r="G630" s="71" t="s">
        <v>424</v>
      </c>
      <c r="H630" s="71" t="s">
        <v>982</v>
      </c>
      <c r="I630" s="71" t="s">
        <v>983</v>
      </c>
    </row>
    <row r="631" spans="1:9" ht="29" x14ac:dyDescent="0.35">
      <c r="A631" s="195">
        <v>4</v>
      </c>
      <c r="B631" s="195">
        <v>45</v>
      </c>
      <c r="C631" s="195" t="s">
        <v>1034</v>
      </c>
      <c r="D631" s="64">
        <v>51040</v>
      </c>
      <c r="E631" s="195" t="s">
        <v>366</v>
      </c>
      <c r="F631" s="71" t="s">
        <v>508</v>
      </c>
      <c r="G631" s="71" t="s">
        <v>424</v>
      </c>
      <c r="H631" s="71" t="s">
        <v>988</v>
      </c>
      <c r="I631" s="71" t="s">
        <v>983</v>
      </c>
    </row>
    <row r="632" spans="1:9" ht="29" x14ac:dyDescent="0.35">
      <c r="A632" s="195">
        <v>4</v>
      </c>
      <c r="B632" s="195">
        <v>46</v>
      </c>
      <c r="C632" s="195" t="s">
        <v>1035</v>
      </c>
      <c r="D632" s="64">
        <v>45740</v>
      </c>
      <c r="E632" s="195" t="s">
        <v>373</v>
      </c>
      <c r="F632" s="71" t="s">
        <v>508</v>
      </c>
      <c r="G632" s="71" t="s">
        <v>424</v>
      </c>
      <c r="H632" s="71" t="s">
        <v>988</v>
      </c>
      <c r="I632" s="71" t="s">
        <v>990</v>
      </c>
    </row>
    <row r="633" spans="1:9" ht="29" x14ac:dyDescent="0.35">
      <c r="A633" s="195">
        <v>4</v>
      </c>
      <c r="B633" s="195">
        <v>47</v>
      </c>
      <c r="C633" s="195" t="s">
        <v>1036</v>
      </c>
      <c r="D633" s="64">
        <v>5300</v>
      </c>
      <c r="E633" s="195" t="s">
        <v>373</v>
      </c>
      <c r="F633" s="71" t="s">
        <v>508</v>
      </c>
      <c r="G633" s="71" t="s">
        <v>424</v>
      </c>
      <c r="H633" s="71" t="s">
        <v>988</v>
      </c>
      <c r="I633" s="71" t="s">
        <v>992</v>
      </c>
    </row>
    <row r="634" spans="1:9" ht="29" x14ac:dyDescent="0.35">
      <c r="A634" s="195">
        <v>4</v>
      </c>
      <c r="B634" s="195">
        <v>48</v>
      </c>
      <c r="C634" s="195" t="s">
        <v>1037</v>
      </c>
      <c r="D634" s="64">
        <v>68045</v>
      </c>
      <c r="E634" s="195" t="s">
        <v>366</v>
      </c>
      <c r="F634" s="71" t="s">
        <v>508</v>
      </c>
      <c r="G634" s="71" t="s">
        <v>424</v>
      </c>
      <c r="H634" s="71" t="s">
        <v>994</v>
      </c>
      <c r="I634" s="71" t="s">
        <v>983</v>
      </c>
    </row>
    <row r="635" spans="1:9" ht="29" x14ac:dyDescent="0.35">
      <c r="A635" s="195">
        <v>4</v>
      </c>
      <c r="B635" s="195">
        <v>49</v>
      </c>
      <c r="C635" s="195" t="s">
        <v>1038</v>
      </c>
      <c r="D635" s="64">
        <v>60350</v>
      </c>
      <c r="E635" s="195" t="s">
        <v>373</v>
      </c>
      <c r="F635" s="71" t="s">
        <v>508</v>
      </c>
      <c r="G635" s="71" t="s">
        <v>424</v>
      </c>
      <c r="H635" s="71" t="s">
        <v>994</v>
      </c>
      <c r="I635" s="71" t="s">
        <v>990</v>
      </c>
    </row>
    <row r="636" spans="1:9" ht="29" x14ac:dyDescent="0.35">
      <c r="A636" s="195">
        <v>4</v>
      </c>
      <c r="B636" s="195">
        <v>50</v>
      </c>
      <c r="C636" s="195" t="s">
        <v>1039</v>
      </c>
      <c r="D636" s="64">
        <v>7700</v>
      </c>
      <c r="E636" s="195" t="s">
        <v>373</v>
      </c>
      <c r="F636" s="71" t="s">
        <v>508</v>
      </c>
      <c r="G636" s="71" t="s">
        <v>424</v>
      </c>
      <c r="H636" s="71" t="s">
        <v>994</v>
      </c>
      <c r="I636" s="71" t="s">
        <v>992</v>
      </c>
    </row>
    <row r="637" spans="1:9" ht="29" x14ac:dyDescent="0.35">
      <c r="A637" s="195">
        <v>4</v>
      </c>
      <c r="B637" s="195">
        <v>51</v>
      </c>
      <c r="C637" s="195" t="s">
        <v>1040</v>
      </c>
      <c r="D637" s="64">
        <v>153550</v>
      </c>
      <c r="E637" s="195" t="s">
        <v>366</v>
      </c>
      <c r="F637" s="71" t="s">
        <v>508</v>
      </c>
      <c r="G637" s="71" t="s">
        <v>424</v>
      </c>
      <c r="H637" s="71" t="s">
        <v>998</v>
      </c>
      <c r="I637" s="71" t="s">
        <v>983</v>
      </c>
    </row>
    <row r="638" spans="1:9" ht="29" x14ac:dyDescent="0.35">
      <c r="A638" s="195">
        <v>4</v>
      </c>
      <c r="B638" s="195">
        <v>52</v>
      </c>
      <c r="C638" s="195" t="s">
        <v>1041</v>
      </c>
      <c r="D638" s="64">
        <v>153140</v>
      </c>
      <c r="E638" s="195" t="s">
        <v>373</v>
      </c>
      <c r="F638" s="71" t="s">
        <v>508</v>
      </c>
      <c r="G638" s="71" t="s">
        <v>424</v>
      </c>
      <c r="H638" s="71" t="s">
        <v>998</v>
      </c>
      <c r="I638" s="71" t="s">
        <v>990</v>
      </c>
    </row>
    <row r="639" spans="1:9" ht="29" x14ac:dyDescent="0.35">
      <c r="A639" s="195">
        <v>4</v>
      </c>
      <c r="B639" s="195">
        <v>53</v>
      </c>
      <c r="C639" s="195" t="s">
        <v>1042</v>
      </c>
      <c r="D639" s="195">
        <v>410</v>
      </c>
      <c r="E639" s="195" t="s">
        <v>373</v>
      </c>
      <c r="F639" s="71" t="s">
        <v>508</v>
      </c>
      <c r="G639" s="71" t="s">
        <v>424</v>
      </c>
      <c r="H639" s="71" t="s">
        <v>998</v>
      </c>
      <c r="I639" s="71" t="s">
        <v>992</v>
      </c>
    </row>
    <row r="640" spans="1:9" ht="43.5" x14ac:dyDescent="0.35">
      <c r="A640" s="195">
        <v>4</v>
      </c>
      <c r="B640" s="195">
        <v>54</v>
      </c>
      <c r="C640" s="195" t="s">
        <v>1043</v>
      </c>
      <c r="D640" s="64">
        <v>21310</v>
      </c>
      <c r="E640" s="195" t="s">
        <v>366</v>
      </c>
      <c r="F640" s="71" t="s">
        <v>508</v>
      </c>
      <c r="G640" s="71" t="s">
        <v>466</v>
      </c>
      <c r="H640" s="71" t="s">
        <v>982</v>
      </c>
      <c r="I640" s="71" t="s">
        <v>983</v>
      </c>
    </row>
    <row r="641" spans="1:9" ht="58" x14ac:dyDescent="0.35">
      <c r="A641" s="195">
        <v>4</v>
      </c>
      <c r="B641" s="195">
        <v>55</v>
      </c>
      <c r="C641" s="195" t="s">
        <v>1044</v>
      </c>
      <c r="D641" s="64">
        <v>5680</v>
      </c>
      <c r="E641" s="195" t="s">
        <v>366</v>
      </c>
      <c r="F641" s="71" t="s">
        <v>508</v>
      </c>
      <c r="G641" s="71" t="s">
        <v>1013</v>
      </c>
      <c r="H641" s="71" t="s">
        <v>988</v>
      </c>
      <c r="I641" s="71" t="s">
        <v>983</v>
      </c>
    </row>
    <row r="642" spans="1:9" ht="58" x14ac:dyDescent="0.35">
      <c r="A642" s="195">
        <v>4</v>
      </c>
      <c r="B642" s="195">
        <v>56</v>
      </c>
      <c r="C642" s="195" t="s">
        <v>1045</v>
      </c>
      <c r="D642" s="64">
        <v>5190</v>
      </c>
      <c r="E642" s="195" t="s">
        <v>373</v>
      </c>
      <c r="F642" s="71" t="s">
        <v>508</v>
      </c>
      <c r="G642" s="71" t="s">
        <v>1013</v>
      </c>
      <c r="H642" s="71" t="s">
        <v>988</v>
      </c>
      <c r="I642" s="71" t="s">
        <v>990</v>
      </c>
    </row>
    <row r="643" spans="1:9" ht="58" x14ac:dyDescent="0.35">
      <c r="A643" s="195">
        <v>4</v>
      </c>
      <c r="B643" s="195">
        <v>57</v>
      </c>
      <c r="C643" s="195" t="s">
        <v>1046</v>
      </c>
      <c r="D643" s="195">
        <v>490</v>
      </c>
      <c r="E643" s="195" t="s">
        <v>373</v>
      </c>
      <c r="F643" s="71" t="s">
        <v>508</v>
      </c>
      <c r="G643" s="71" t="s">
        <v>1013</v>
      </c>
      <c r="H643" s="71" t="s">
        <v>988</v>
      </c>
      <c r="I643" s="71" t="s">
        <v>992</v>
      </c>
    </row>
    <row r="644" spans="1:9" ht="58" x14ac:dyDescent="0.35">
      <c r="A644" s="195">
        <v>4</v>
      </c>
      <c r="B644" s="195">
        <v>58</v>
      </c>
      <c r="C644" s="195" t="s">
        <v>1047</v>
      </c>
      <c r="D644" s="64">
        <v>985</v>
      </c>
      <c r="E644" s="195" t="s">
        <v>366</v>
      </c>
      <c r="F644" s="71" t="s">
        <v>508</v>
      </c>
      <c r="G644" s="71" t="s">
        <v>1013</v>
      </c>
      <c r="H644" s="71" t="s">
        <v>994</v>
      </c>
      <c r="I644" s="71" t="s">
        <v>983</v>
      </c>
    </row>
    <row r="645" spans="1:9" ht="58" x14ac:dyDescent="0.35">
      <c r="A645" s="195">
        <v>4</v>
      </c>
      <c r="B645" s="195">
        <v>59</v>
      </c>
      <c r="C645" s="195" t="s">
        <v>1048</v>
      </c>
      <c r="D645" s="64">
        <v>950</v>
      </c>
      <c r="E645" s="195" t="s">
        <v>373</v>
      </c>
      <c r="F645" s="71" t="s">
        <v>508</v>
      </c>
      <c r="G645" s="71" t="s">
        <v>1013</v>
      </c>
      <c r="H645" s="71" t="s">
        <v>994</v>
      </c>
      <c r="I645" s="71" t="s">
        <v>990</v>
      </c>
    </row>
    <row r="646" spans="1:9" ht="58" x14ac:dyDescent="0.35">
      <c r="A646" s="195">
        <v>4</v>
      </c>
      <c r="B646" s="195">
        <v>60</v>
      </c>
      <c r="C646" s="195" t="s">
        <v>1049</v>
      </c>
      <c r="D646" s="195">
        <v>35</v>
      </c>
      <c r="E646" s="195" t="s">
        <v>373</v>
      </c>
      <c r="F646" s="71" t="s">
        <v>508</v>
      </c>
      <c r="G646" s="71" t="s">
        <v>1013</v>
      </c>
      <c r="H646" s="71" t="s">
        <v>994</v>
      </c>
      <c r="I646" s="71" t="s">
        <v>992</v>
      </c>
    </row>
    <row r="647" spans="1:9" ht="58" x14ac:dyDescent="0.35">
      <c r="A647" s="195">
        <v>4</v>
      </c>
      <c r="B647" s="195">
        <v>61</v>
      </c>
      <c r="C647" s="195" t="s">
        <v>1050</v>
      </c>
      <c r="D647" s="64">
        <v>14645</v>
      </c>
      <c r="E647" s="195" t="s">
        <v>366</v>
      </c>
      <c r="F647" s="71" t="s">
        <v>508</v>
      </c>
      <c r="G647" s="71" t="s">
        <v>1013</v>
      </c>
      <c r="H647" s="71" t="s">
        <v>998</v>
      </c>
      <c r="I647" s="71" t="s">
        <v>983</v>
      </c>
    </row>
    <row r="648" spans="1:9" ht="58" x14ac:dyDescent="0.35">
      <c r="A648" s="195">
        <v>4</v>
      </c>
      <c r="B648" s="195">
        <v>62</v>
      </c>
      <c r="C648" s="195" t="s">
        <v>1051</v>
      </c>
      <c r="D648" s="64">
        <v>14620</v>
      </c>
      <c r="E648" s="195" t="s">
        <v>373</v>
      </c>
      <c r="F648" s="71" t="s">
        <v>508</v>
      </c>
      <c r="G648" s="71" t="s">
        <v>1013</v>
      </c>
      <c r="H648" s="71" t="s">
        <v>998</v>
      </c>
      <c r="I648" s="71" t="s">
        <v>990</v>
      </c>
    </row>
    <row r="649" spans="1:9" ht="58" x14ac:dyDescent="0.35">
      <c r="A649" s="195">
        <v>4</v>
      </c>
      <c r="B649" s="195">
        <v>63</v>
      </c>
      <c r="C649" s="195" t="s">
        <v>1052</v>
      </c>
      <c r="D649" s="195">
        <v>30</v>
      </c>
      <c r="E649" s="195" t="s">
        <v>373</v>
      </c>
      <c r="F649" s="71" t="s">
        <v>508</v>
      </c>
      <c r="G649" s="71" t="s">
        <v>1013</v>
      </c>
      <c r="H649" s="71" t="s">
        <v>998</v>
      </c>
      <c r="I649" s="71" t="s">
        <v>992</v>
      </c>
    </row>
    <row r="650" spans="1:9" ht="29" x14ac:dyDescent="0.35">
      <c r="A650" s="195">
        <v>5</v>
      </c>
      <c r="B650" s="195">
        <v>1</v>
      </c>
      <c r="C650" s="195" t="s">
        <v>1053</v>
      </c>
      <c r="D650" s="64">
        <v>1042580</v>
      </c>
      <c r="E650" s="195" t="s">
        <v>26</v>
      </c>
      <c r="F650" s="71" t="s">
        <v>361</v>
      </c>
      <c r="G650" s="71" t="s">
        <v>362</v>
      </c>
      <c r="H650" s="71" t="s">
        <v>363</v>
      </c>
      <c r="I650" s="71" t="s">
        <v>1054</v>
      </c>
    </row>
    <row r="651" spans="1:9" x14ac:dyDescent="0.35">
      <c r="A651" s="195">
        <v>5</v>
      </c>
      <c r="B651" s="195">
        <v>2</v>
      </c>
      <c r="C651" s="195" t="s">
        <v>1055</v>
      </c>
      <c r="D651" s="64">
        <v>459890</v>
      </c>
      <c r="E651" s="195" t="s">
        <v>366</v>
      </c>
      <c r="F651" s="71" t="s">
        <v>367</v>
      </c>
      <c r="G651" s="71" t="s">
        <v>362</v>
      </c>
      <c r="H651" s="71" t="s">
        <v>363</v>
      </c>
      <c r="I651" s="71" t="s">
        <v>1054</v>
      </c>
    </row>
    <row r="652" spans="1:9" ht="43.5" x14ac:dyDescent="0.35">
      <c r="A652" s="195">
        <v>5</v>
      </c>
      <c r="B652" s="195">
        <v>3</v>
      </c>
      <c r="C652" s="195" t="s">
        <v>1056</v>
      </c>
      <c r="D652" s="64">
        <v>158520</v>
      </c>
      <c r="E652" s="195" t="s">
        <v>366</v>
      </c>
      <c r="F652" s="71" t="s">
        <v>367</v>
      </c>
      <c r="G652" s="71" t="s">
        <v>1057</v>
      </c>
      <c r="H652" s="71" t="s">
        <v>363</v>
      </c>
      <c r="I652" s="71" t="s">
        <v>1054</v>
      </c>
    </row>
    <row r="653" spans="1:9" ht="43.5" x14ac:dyDescent="0.35">
      <c r="A653" s="195">
        <v>5</v>
      </c>
      <c r="B653" s="195">
        <v>4</v>
      </c>
      <c r="C653" s="195" t="s">
        <v>1058</v>
      </c>
      <c r="D653" s="64">
        <v>39310</v>
      </c>
      <c r="E653" s="195" t="s">
        <v>366</v>
      </c>
      <c r="F653" s="71" t="s">
        <v>367</v>
      </c>
      <c r="G653" s="71" t="s">
        <v>1057</v>
      </c>
      <c r="H653" s="71" t="s">
        <v>371</v>
      </c>
      <c r="I653" s="71" t="s">
        <v>1054</v>
      </c>
    </row>
    <row r="654" spans="1:9" ht="43.5" x14ac:dyDescent="0.35">
      <c r="A654" s="195">
        <v>5</v>
      </c>
      <c r="B654" s="195">
        <v>5</v>
      </c>
      <c r="C654" s="195" t="s">
        <v>1059</v>
      </c>
      <c r="D654" s="64">
        <v>12145</v>
      </c>
      <c r="E654" s="195" t="s">
        <v>373</v>
      </c>
      <c r="F654" s="71" t="s">
        <v>367</v>
      </c>
      <c r="G654" s="71" t="s">
        <v>1057</v>
      </c>
      <c r="H654" s="71" t="s">
        <v>371</v>
      </c>
      <c r="I654" s="71" t="s">
        <v>1060</v>
      </c>
    </row>
    <row r="655" spans="1:9" ht="43.5" x14ac:dyDescent="0.35">
      <c r="A655" s="195">
        <v>5</v>
      </c>
      <c r="B655" s="195">
        <v>6</v>
      </c>
      <c r="C655" s="195" t="s">
        <v>1061</v>
      </c>
      <c r="D655" s="64">
        <v>9675</v>
      </c>
      <c r="E655" s="195" t="s">
        <v>373</v>
      </c>
      <c r="F655" s="71" t="s">
        <v>367</v>
      </c>
      <c r="G655" s="71" t="s">
        <v>1057</v>
      </c>
      <c r="H655" s="71" t="s">
        <v>371</v>
      </c>
      <c r="I655" s="71" t="s">
        <v>1062</v>
      </c>
    </row>
    <row r="656" spans="1:9" ht="43.5" x14ac:dyDescent="0.35">
      <c r="A656" s="195">
        <v>5</v>
      </c>
      <c r="B656" s="195">
        <v>7</v>
      </c>
      <c r="C656" s="195" t="s">
        <v>1063</v>
      </c>
      <c r="D656" s="64">
        <v>17495</v>
      </c>
      <c r="E656" s="195" t="s">
        <v>373</v>
      </c>
      <c r="F656" s="71" t="s">
        <v>367</v>
      </c>
      <c r="G656" s="71" t="s">
        <v>1057</v>
      </c>
      <c r="H656" s="71" t="s">
        <v>371</v>
      </c>
      <c r="I656" s="71" t="s">
        <v>1064</v>
      </c>
    </row>
    <row r="657" spans="1:9" ht="43.5" x14ac:dyDescent="0.35">
      <c r="A657" s="195">
        <v>5</v>
      </c>
      <c r="B657" s="195">
        <v>8</v>
      </c>
      <c r="C657" s="195" t="s">
        <v>1065</v>
      </c>
      <c r="D657" s="64">
        <v>35605</v>
      </c>
      <c r="E657" s="195" t="s">
        <v>366</v>
      </c>
      <c r="F657" s="71" t="s">
        <v>367</v>
      </c>
      <c r="G657" s="71" t="s">
        <v>1057</v>
      </c>
      <c r="H657" s="71" t="s">
        <v>388</v>
      </c>
      <c r="I657" s="71" t="s">
        <v>1054</v>
      </c>
    </row>
    <row r="658" spans="1:9" ht="43.5" x14ac:dyDescent="0.35">
      <c r="A658" s="195">
        <v>5</v>
      </c>
      <c r="B658" s="195">
        <v>9</v>
      </c>
      <c r="C658" s="195" t="s">
        <v>1066</v>
      </c>
      <c r="D658" s="64">
        <v>10545</v>
      </c>
      <c r="E658" s="195" t="s">
        <v>373</v>
      </c>
      <c r="F658" s="71" t="s">
        <v>367</v>
      </c>
      <c r="G658" s="71" t="s">
        <v>1057</v>
      </c>
      <c r="H658" s="71" t="s">
        <v>388</v>
      </c>
      <c r="I658" s="71" t="s">
        <v>1060</v>
      </c>
    </row>
    <row r="659" spans="1:9" ht="43.5" x14ac:dyDescent="0.35">
      <c r="A659" s="195">
        <v>5</v>
      </c>
      <c r="B659" s="195">
        <v>10</v>
      </c>
      <c r="C659" s="195" t="s">
        <v>1067</v>
      </c>
      <c r="D659" s="64">
        <v>7155</v>
      </c>
      <c r="E659" s="195" t="s">
        <v>373</v>
      </c>
      <c r="F659" s="71" t="s">
        <v>367</v>
      </c>
      <c r="G659" s="71" t="s">
        <v>1057</v>
      </c>
      <c r="H659" s="71" t="s">
        <v>388</v>
      </c>
      <c r="I659" s="71" t="s">
        <v>1062</v>
      </c>
    </row>
    <row r="660" spans="1:9" ht="43.5" x14ac:dyDescent="0.35">
      <c r="A660" s="195">
        <v>5</v>
      </c>
      <c r="B660" s="195">
        <v>11</v>
      </c>
      <c r="C660" s="195" t="s">
        <v>1068</v>
      </c>
      <c r="D660" s="64">
        <v>17905</v>
      </c>
      <c r="E660" s="195" t="s">
        <v>373</v>
      </c>
      <c r="F660" s="71" t="s">
        <v>367</v>
      </c>
      <c r="G660" s="71" t="s">
        <v>1057</v>
      </c>
      <c r="H660" s="71" t="s">
        <v>388</v>
      </c>
      <c r="I660" s="71" t="s">
        <v>1064</v>
      </c>
    </row>
    <row r="661" spans="1:9" ht="43.5" x14ac:dyDescent="0.35">
      <c r="A661" s="195">
        <v>5</v>
      </c>
      <c r="B661" s="195">
        <v>12</v>
      </c>
      <c r="C661" s="195" t="s">
        <v>1069</v>
      </c>
      <c r="D661" s="64">
        <v>37090</v>
      </c>
      <c r="E661" s="195" t="s">
        <v>366</v>
      </c>
      <c r="F661" s="71" t="s">
        <v>367</v>
      </c>
      <c r="G661" s="71" t="s">
        <v>1057</v>
      </c>
      <c r="H661" s="71" t="s">
        <v>397</v>
      </c>
      <c r="I661" s="71" t="s">
        <v>1054</v>
      </c>
    </row>
    <row r="662" spans="1:9" ht="43.5" x14ac:dyDescent="0.35">
      <c r="A662" s="195">
        <v>5</v>
      </c>
      <c r="B662" s="195">
        <v>13</v>
      </c>
      <c r="C662" s="195" t="s">
        <v>1070</v>
      </c>
      <c r="D662" s="64">
        <v>9900</v>
      </c>
      <c r="E662" s="195" t="s">
        <v>373</v>
      </c>
      <c r="F662" s="71" t="s">
        <v>367</v>
      </c>
      <c r="G662" s="71" t="s">
        <v>1057</v>
      </c>
      <c r="H662" s="71" t="s">
        <v>397</v>
      </c>
      <c r="I662" s="71" t="s">
        <v>1060</v>
      </c>
    </row>
    <row r="663" spans="1:9" ht="43.5" x14ac:dyDescent="0.35">
      <c r="A663" s="195">
        <v>5</v>
      </c>
      <c r="B663" s="195">
        <v>14</v>
      </c>
      <c r="C663" s="195" t="s">
        <v>1071</v>
      </c>
      <c r="D663" s="64">
        <v>3900</v>
      </c>
      <c r="E663" s="195" t="s">
        <v>373</v>
      </c>
      <c r="F663" s="71" t="s">
        <v>367</v>
      </c>
      <c r="G663" s="71" t="s">
        <v>1057</v>
      </c>
      <c r="H663" s="71" t="s">
        <v>397</v>
      </c>
      <c r="I663" s="71" t="s">
        <v>1062</v>
      </c>
    </row>
    <row r="664" spans="1:9" ht="43.5" x14ac:dyDescent="0.35">
      <c r="A664" s="195">
        <v>5</v>
      </c>
      <c r="B664" s="195">
        <v>15</v>
      </c>
      <c r="C664" s="195" t="s">
        <v>1072</v>
      </c>
      <c r="D664" s="64">
        <v>23290</v>
      </c>
      <c r="E664" s="195" t="s">
        <v>373</v>
      </c>
      <c r="F664" s="71" t="s">
        <v>367</v>
      </c>
      <c r="G664" s="71" t="s">
        <v>1057</v>
      </c>
      <c r="H664" s="71" t="s">
        <v>397</v>
      </c>
      <c r="I664" s="71" t="s">
        <v>1064</v>
      </c>
    </row>
    <row r="665" spans="1:9" ht="43.5" x14ac:dyDescent="0.35">
      <c r="A665" s="195">
        <v>5</v>
      </c>
      <c r="B665" s="195">
        <v>16</v>
      </c>
      <c r="C665" s="195" t="s">
        <v>1073</v>
      </c>
      <c r="D665" s="64">
        <v>16555</v>
      </c>
      <c r="E665" s="195" t="s">
        <v>366</v>
      </c>
      <c r="F665" s="71" t="s">
        <v>367</v>
      </c>
      <c r="G665" s="71" t="s">
        <v>1057</v>
      </c>
      <c r="H665" s="71" t="s">
        <v>406</v>
      </c>
      <c r="I665" s="71" t="s">
        <v>1054</v>
      </c>
    </row>
    <row r="666" spans="1:9" ht="43.5" x14ac:dyDescent="0.35">
      <c r="A666" s="195">
        <v>5</v>
      </c>
      <c r="B666" s="195">
        <v>17</v>
      </c>
      <c r="C666" s="195" t="s">
        <v>1074</v>
      </c>
      <c r="D666" s="64">
        <v>3650</v>
      </c>
      <c r="E666" s="195" t="s">
        <v>373</v>
      </c>
      <c r="F666" s="71" t="s">
        <v>367</v>
      </c>
      <c r="G666" s="71" t="s">
        <v>1057</v>
      </c>
      <c r="H666" s="71" t="s">
        <v>406</v>
      </c>
      <c r="I666" s="71" t="s">
        <v>1060</v>
      </c>
    </row>
    <row r="667" spans="1:9" ht="43.5" x14ac:dyDescent="0.35">
      <c r="A667" s="195">
        <v>5</v>
      </c>
      <c r="B667" s="195">
        <v>18</v>
      </c>
      <c r="C667" s="195" t="s">
        <v>1075</v>
      </c>
      <c r="D667" s="64">
        <v>1045</v>
      </c>
      <c r="E667" s="195" t="s">
        <v>373</v>
      </c>
      <c r="F667" s="71" t="s">
        <v>367</v>
      </c>
      <c r="G667" s="71" t="s">
        <v>1057</v>
      </c>
      <c r="H667" s="71" t="s">
        <v>406</v>
      </c>
      <c r="I667" s="71" t="s">
        <v>1062</v>
      </c>
    </row>
    <row r="668" spans="1:9" ht="43.5" x14ac:dyDescent="0.35">
      <c r="A668" s="195">
        <v>5</v>
      </c>
      <c r="B668" s="195">
        <v>19</v>
      </c>
      <c r="C668" s="195" t="s">
        <v>1076</v>
      </c>
      <c r="D668" s="64">
        <v>11865</v>
      </c>
      <c r="E668" s="195" t="s">
        <v>373</v>
      </c>
      <c r="F668" s="71" t="s">
        <v>367</v>
      </c>
      <c r="G668" s="71" t="s">
        <v>1057</v>
      </c>
      <c r="H668" s="71" t="s">
        <v>406</v>
      </c>
      <c r="I668" s="71" t="s">
        <v>1064</v>
      </c>
    </row>
    <row r="669" spans="1:9" ht="43.5" x14ac:dyDescent="0.35">
      <c r="A669" s="195">
        <v>5</v>
      </c>
      <c r="B669" s="195">
        <v>20</v>
      </c>
      <c r="C669" s="195" t="s">
        <v>1077</v>
      </c>
      <c r="D669" s="64">
        <v>29955</v>
      </c>
      <c r="E669" s="195" t="s">
        <v>366</v>
      </c>
      <c r="F669" s="71" t="s">
        <v>367</v>
      </c>
      <c r="G669" s="71" t="s">
        <v>1057</v>
      </c>
      <c r="H669" s="71" t="s">
        <v>415</v>
      </c>
      <c r="I669" s="71" t="s">
        <v>1054</v>
      </c>
    </row>
    <row r="670" spans="1:9" ht="43.5" x14ac:dyDescent="0.35">
      <c r="A670" s="195">
        <v>5</v>
      </c>
      <c r="B670" s="195">
        <v>21</v>
      </c>
      <c r="C670" s="195" t="s">
        <v>1078</v>
      </c>
      <c r="D670" s="64">
        <v>5670</v>
      </c>
      <c r="E670" s="195" t="s">
        <v>373</v>
      </c>
      <c r="F670" s="71" t="s">
        <v>367</v>
      </c>
      <c r="G670" s="71" t="s">
        <v>1057</v>
      </c>
      <c r="H670" s="71" t="s">
        <v>415</v>
      </c>
      <c r="I670" s="71" t="s">
        <v>1060</v>
      </c>
    </row>
    <row r="671" spans="1:9" ht="43.5" x14ac:dyDescent="0.35">
      <c r="A671" s="195">
        <v>5</v>
      </c>
      <c r="B671" s="195">
        <v>22</v>
      </c>
      <c r="C671" s="195" t="s">
        <v>1079</v>
      </c>
      <c r="D671" s="64">
        <v>1500</v>
      </c>
      <c r="E671" s="195" t="s">
        <v>373</v>
      </c>
      <c r="F671" s="71" t="s">
        <v>367</v>
      </c>
      <c r="G671" s="71" t="s">
        <v>1057</v>
      </c>
      <c r="H671" s="71" t="s">
        <v>415</v>
      </c>
      <c r="I671" s="71" t="s">
        <v>1062</v>
      </c>
    </row>
    <row r="672" spans="1:9" ht="43.5" x14ac:dyDescent="0.35">
      <c r="A672" s="195">
        <v>5</v>
      </c>
      <c r="B672" s="195">
        <v>23</v>
      </c>
      <c r="C672" s="195" t="s">
        <v>1080</v>
      </c>
      <c r="D672" s="64">
        <v>22785</v>
      </c>
      <c r="E672" s="195" t="s">
        <v>373</v>
      </c>
      <c r="F672" s="71" t="s">
        <v>367</v>
      </c>
      <c r="G672" s="71" t="s">
        <v>1057</v>
      </c>
      <c r="H672" s="71" t="s">
        <v>415</v>
      </c>
      <c r="I672" s="71" t="s">
        <v>1064</v>
      </c>
    </row>
    <row r="673" spans="1:9" ht="29" x14ac:dyDescent="0.35">
      <c r="A673" s="195">
        <v>5</v>
      </c>
      <c r="B673" s="195">
        <v>24</v>
      </c>
      <c r="C673" s="195" t="s">
        <v>1081</v>
      </c>
      <c r="D673" s="64">
        <v>296825</v>
      </c>
      <c r="E673" s="195" t="s">
        <v>366</v>
      </c>
      <c r="F673" s="71" t="s">
        <v>367</v>
      </c>
      <c r="G673" s="71" t="s">
        <v>1082</v>
      </c>
      <c r="H673" s="71" t="s">
        <v>363</v>
      </c>
      <c r="I673" s="71" t="s">
        <v>1054</v>
      </c>
    </row>
    <row r="674" spans="1:9" ht="29" x14ac:dyDescent="0.35">
      <c r="A674" s="195">
        <v>5</v>
      </c>
      <c r="B674" s="195">
        <v>25</v>
      </c>
      <c r="C674" s="195" t="s">
        <v>1083</v>
      </c>
      <c r="D674" s="64">
        <v>4585</v>
      </c>
      <c r="E674" s="195" t="s">
        <v>366</v>
      </c>
      <c r="F674" s="71" t="s">
        <v>367</v>
      </c>
      <c r="G674" s="71" t="s">
        <v>1082</v>
      </c>
      <c r="H674" s="71" t="s">
        <v>371</v>
      </c>
      <c r="I674" s="71" t="s">
        <v>1054</v>
      </c>
    </row>
    <row r="675" spans="1:9" ht="43.5" x14ac:dyDescent="0.35">
      <c r="A675" s="195">
        <v>5</v>
      </c>
      <c r="B675" s="195">
        <v>26</v>
      </c>
      <c r="C675" s="195" t="s">
        <v>1084</v>
      </c>
      <c r="D675" s="64">
        <v>1245</v>
      </c>
      <c r="E675" s="195" t="s">
        <v>373</v>
      </c>
      <c r="F675" s="71" t="s">
        <v>367</v>
      </c>
      <c r="G675" s="71" t="s">
        <v>1082</v>
      </c>
      <c r="H675" s="71" t="s">
        <v>371</v>
      </c>
      <c r="I675" s="71" t="s">
        <v>1060</v>
      </c>
    </row>
    <row r="676" spans="1:9" ht="29" x14ac:dyDescent="0.35">
      <c r="A676" s="195">
        <v>5</v>
      </c>
      <c r="B676" s="195">
        <v>27</v>
      </c>
      <c r="C676" s="195" t="s">
        <v>1085</v>
      </c>
      <c r="D676" s="64">
        <v>2190</v>
      </c>
      <c r="E676" s="195" t="s">
        <v>373</v>
      </c>
      <c r="F676" s="71" t="s">
        <v>367</v>
      </c>
      <c r="G676" s="71" t="s">
        <v>1082</v>
      </c>
      <c r="H676" s="71" t="s">
        <v>371</v>
      </c>
      <c r="I676" s="71" t="s">
        <v>1062</v>
      </c>
    </row>
    <row r="677" spans="1:9" ht="29" x14ac:dyDescent="0.35">
      <c r="A677" s="195">
        <v>5</v>
      </c>
      <c r="B677" s="195">
        <v>28</v>
      </c>
      <c r="C677" s="195" t="s">
        <v>1086</v>
      </c>
      <c r="D677" s="64">
        <v>1150</v>
      </c>
      <c r="E677" s="195" t="s">
        <v>373</v>
      </c>
      <c r="F677" s="71" t="s">
        <v>367</v>
      </c>
      <c r="G677" s="71" t="s">
        <v>1082</v>
      </c>
      <c r="H677" s="71" t="s">
        <v>371</v>
      </c>
      <c r="I677" s="71" t="s">
        <v>1064</v>
      </c>
    </row>
    <row r="678" spans="1:9" ht="43.5" x14ac:dyDescent="0.35">
      <c r="A678" s="195">
        <v>5</v>
      </c>
      <c r="B678" s="195">
        <v>29</v>
      </c>
      <c r="C678" s="195" t="s">
        <v>1087</v>
      </c>
      <c r="D678" s="64">
        <v>16090</v>
      </c>
      <c r="E678" s="195" t="s">
        <v>366</v>
      </c>
      <c r="F678" s="71" t="s">
        <v>367</v>
      </c>
      <c r="G678" s="71" t="s">
        <v>1082</v>
      </c>
      <c r="H678" s="71" t="s">
        <v>388</v>
      </c>
      <c r="I678" s="71" t="s">
        <v>1054</v>
      </c>
    </row>
    <row r="679" spans="1:9" ht="43.5" x14ac:dyDescent="0.35">
      <c r="A679" s="195">
        <v>5</v>
      </c>
      <c r="B679" s="195">
        <v>30</v>
      </c>
      <c r="C679" s="195" t="s">
        <v>1088</v>
      </c>
      <c r="D679" s="64">
        <v>4860</v>
      </c>
      <c r="E679" s="195" t="s">
        <v>373</v>
      </c>
      <c r="F679" s="71" t="s">
        <v>367</v>
      </c>
      <c r="G679" s="71" t="s">
        <v>1082</v>
      </c>
      <c r="H679" s="71" t="s">
        <v>388</v>
      </c>
      <c r="I679" s="71" t="s">
        <v>1060</v>
      </c>
    </row>
    <row r="680" spans="1:9" ht="43.5" x14ac:dyDescent="0.35">
      <c r="A680" s="195">
        <v>5</v>
      </c>
      <c r="B680" s="195">
        <v>31</v>
      </c>
      <c r="C680" s="195" t="s">
        <v>1089</v>
      </c>
      <c r="D680" s="64">
        <v>7220</v>
      </c>
      <c r="E680" s="195" t="s">
        <v>373</v>
      </c>
      <c r="F680" s="71" t="s">
        <v>367</v>
      </c>
      <c r="G680" s="71" t="s">
        <v>1082</v>
      </c>
      <c r="H680" s="71" t="s">
        <v>388</v>
      </c>
      <c r="I680" s="71" t="s">
        <v>1062</v>
      </c>
    </row>
    <row r="681" spans="1:9" ht="43.5" x14ac:dyDescent="0.35">
      <c r="A681" s="195">
        <v>5</v>
      </c>
      <c r="B681" s="195">
        <v>32</v>
      </c>
      <c r="C681" s="195" t="s">
        <v>1090</v>
      </c>
      <c r="D681" s="64">
        <v>4010</v>
      </c>
      <c r="E681" s="195" t="s">
        <v>373</v>
      </c>
      <c r="F681" s="71" t="s">
        <v>367</v>
      </c>
      <c r="G681" s="71" t="s">
        <v>1082</v>
      </c>
      <c r="H681" s="71" t="s">
        <v>388</v>
      </c>
      <c r="I681" s="71" t="s">
        <v>1064</v>
      </c>
    </row>
    <row r="682" spans="1:9" ht="43.5" x14ac:dyDescent="0.35">
      <c r="A682" s="195">
        <v>5</v>
      </c>
      <c r="B682" s="195">
        <v>33</v>
      </c>
      <c r="C682" s="195" t="s">
        <v>1091</v>
      </c>
      <c r="D682" s="64">
        <v>34130</v>
      </c>
      <c r="E682" s="195" t="s">
        <v>366</v>
      </c>
      <c r="F682" s="71" t="s">
        <v>367</v>
      </c>
      <c r="G682" s="71" t="s">
        <v>1082</v>
      </c>
      <c r="H682" s="71" t="s">
        <v>397</v>
      </c>
      <c r="I682" s="71" t="s">
        <v>1054</v>
      </c>
    </row>
    <row r="683" spans="1:9" ht="43.5" x14ac:dyDescent="0.35">
      <c r="A683" s="195">
        <v>5</v>
      </c>
      <c r="B683" s="195">
        <v>34</v>
      </c>
      <c r="C683" s="195" t="s">
        <v>1092</v>
      </c>
      <c r="D683" s="64">
        <v>11315</v>
      </c>
      <c r="E683" s="195" t="s">
        <v>373</v>
      </c>
      <c r="F683" s="71" t="s">
        <v>367</v>
      </c>
      <c r="G683" s="71" t="s">
        <v>1082</v>
      </c>
      <c r="H683" s="71" t="s">
        <v>397</v>
      </c>
      <c r="I683" s="71" t="s">
        <v>1060</v>
      </c>
    </row>
    <row r="684" spans="1:9" ht="43.5" x14ac:dyDescent="0.35">
      <c r="A684" s="195">
        <v>5</v>
      </c>
      <c r="B684" s="195">
        <v>35</v>
      </c>
      <c r="C684" s="195" t="s">
        <v>1093</v>
      </c>
      <c r="D684" s="64">
        <v>8650</v>
      </c>
      <c r="E684" s="195" t="s">
        <v>373</v>
      </c>
      <c r="F684" s="71" t="s">
        <v>367</v>
      </c>
      <c r="G684" s="71" t="s">
        <v>1082</v>
      </c>
      <c r="H684" s="71" t="s">
        <v>397</v>
      </c>
      <c r="I684" s="71" t="s">
        <v>1062</v>
      </c>
    </row>
    <row r="685" spans="1:9" ht="43.5" x14ac:dyDescent="0.35">
      <c r="A685" s="195">
        <v>5</v>
      </c>
      <c r="B685" s="195">
        <v>36</v>
      </c>
      <c r="C685" s="195" t="s">
        <v>1094</v>
      </c>
      <c r="D685" s="64">
        <v>14160</v>
      </c>
      <c r="E685" s="195" t="s">
        <v>373</v>
      </c>
      <c r="F685" s="71" t="s">
        <v>367</v>
      </c>
      <c r="G685" s="71" t="s">
        <v>1082</v>
      </c>
      <c r="H685" s="71" t="s">
        <v>397</v>
      </c>
      <c r="I685" s="71" t="s">
        <v>1064</v>
      </c>
    </row>
    <row r="686" spans="1:9" ht="43.5" x14ac:dyDescent="0.35">
      <c r="A686" s="195">
        <v>5</v>
      </c>
      <c r="B686" s="195">
        <v>37</v>
      </c>
      <c r="C686" s="195" t="s">
        <v>1095</v>
      </c>
      <c r="D686" s="64">
        <v>28440</v>
      </c>
      <c r="E686" s="195" t="s">
        <v>366</v>
      </c>
      <c r="F686" s="71" t="s">
        <v>367</v>
      </c>
      <c r="G686" s="71" t="s">
        <v>1082</v>
      </c>
      <c r="H686" s="71" t="s">
        <v>406</v>
      </c>
      <c r="I686" s="71" t="s">
        <v>1054</v>
      </c>
    </row>
    <row r="687" spans="1:9" ht="43.5" x14ac:dyDescent="0.35">
      <c r="A687" s="195">
        <v>5</v>
      </c>
      <c r="B687" s="195">
        <v>38</v>
      </c>
      <c r="C687" s="195" t="s">
        <v>1096</v>
      </c>
      <c r="D687" s="64">
        <v>8165</v>
      </c>
      <c r="E687" s="195" t="s">
        <v>373</v>
      </c>
      <c r="F687" s="71" t="s">
        <v>367</v>
      </c>
      <c r="G687" s="71" t="s">
        <v>1082</v>
      </c>
      <c r="H687" s="71" t="s">
        <v>406</v>
      </c>
      <c r="I687" s="71" t="s">
        <v>1060</v>
      </c>
    </row>
    <row r="688" spans="1:9" ht="43.5" x14ac:dyDescent="0.35">
      <c r="A688" s="195">
        <v>5</v>
      </c>
      <c r="B688" s="195">
        <v>39</v>
      </c>
      <c r="C688" s="195" t="s">
        <v>1097</v>
      </c>
      <c r="D688" s="64">
        <v>4405</v>
      </c>
      <c r="E688" s="195" t="s">
        <v>373</v>
      </c>
      <c r="F688" s="71" t="s">
        <v>367</v>
      </c>
      <c r="G688" s="71" t="s">
        <v>1082</v>
      </c>
      <c r="H688" s="71" t="s">
        <v>406</v>
      </c>
      <c r="I688" s="71" t="s">
        <v>1062</v>
      </c>
    </row>
    <row r="689" spans="1:9" ht="43.5" x14ac:dyDescent="0.35">
      <c r="A689" s="195">
        <v>5</v>
      </c>
      <c r="B689" s="195">
        <v>40</v>
      </c>
      <c r="C689" s="195" t="s">
        <v>1098</v>
      </c>
      <c r="D689" s="64">
        <v>15870</v>
      </c>
      <c r="E689" s="195" t="s">
        <v>373</v>
      </c>
      <c r="F689" s="71" t="s">
        <v>367</v>
      </c>
      <c r="G689" s="71" t="s">
        <v>1082</v>
      </c>
      <c r="H689" s="71" t="s">
        <v>406</v>
      </c>
      <c r="I689" s="71" t="s">
        <v>1064</v>
      </c>
    </row>
    <row r="690" spans="1:9" ht="29" x14ac:dyDescent="0.35">
      <c r="A690" s="195">
        <v>5</v>
      </c>
      <c r="B690" s="195">
        <v>41</v>
      </c>
      <c r="C690" s="195" t="s">
        <v>1099</v>
      </c>
      <c r="D690" s="64">
        <v>213575</v>
      </c>
      <c r="E690" s="195" t="s">
        <v>366</v>
      </c>
      <c r="F690" s="71" t="s">
        <v>367</v>
      </c>
      <c r="G690" s="71" t="s">
        <v>1082</v>
      </c>
      <c r="H690" s="71" t="s">
        <v>415</v>
      </c>
      <c r="I690" s="71" t="s">
        <v>1054</v>
      </c>
    </row>
    <row r="691" spans="1:9" ht="43.5" x14ac:dyDescent="0.35">
      <c r="A691" s="195">
        <v>5</v>
      </c>
      <c r="B691" s="195">
        <v>42</v>
      </c>
      <c r="C691" s="195" t="s">
        <v>1100</v>
      </c>
      <c r="D691" s="64">
        <v>42085</v>
      </c>
      <c r="E691" s="195" t="s">
        <v>373</v>
      </c>
      <c r="F691" s="71" t="s">
        <v>367</v>
      </c>
      <c r="G691" s="71" t="s">
        <v>1082</v>
      </c>
      <c r="H691" s="71" t="s">
        <v>415</v>
      </c>
      <c r="I691" s="71" t="s">
        <v>1060</v>
      </c>
    </row>
    <row r="692" spans="1:9" ht="29" x14ac:dyDescent="0.35">
      <c r="A692" s="195">
        <v>5</v>
      </c>
      <c r="B692" s="195">
        <v>43</v>
      </c>
      <c r="C692" s="195" t="s">
        <v>1101</v>
      </c>
      <c r="D692" s="64">
        <v>14745</v>
      </c>
      <c r="E692" s="195" t="s">
        <v>373</v>
      </c>
      <c r="F692" s="71" t="s">
        <v>367</v>
      </c>
      <c r="G692" s="71" t="s">
        <v>1082</v>
      </c>
      <c r="H692" s="71" t="s">
        <v>415</v>
      </c>
      <c r="I692" s="71" t="s">
        <v>1062</v>
      </c>
    </row>
    <row r="693" spans="1:9" ht="29" x14ac:dyDescent="0.35">
      <c r="A693" s="195">
        <v>5</v>
      </c>
      <c r="B693" s="195">
        <v>44</v>
      </c>
      <c r="C693" s="195" t="s">
        <v>1102</v>
      </c>
      <c r="D693" s="64">
        <v>156745</v>
      </c>
      <c r="E693" s="195" t="s">
        <v>373</v>
      </c>
      <c r="F693" s="71" t="s">
        <v>367</v>
      </c>
      <c r="G693" s="71" t="s">
        <v>1082</v>
      </c>
      <c r="H693" s="71" t="s">
        <v>415</v>
      </c>
      <c r="I693" s="71" t="s">
        <v>1064</v>
      </c>
    </row>
    <row r="694" spans="1:9" ht="58" x14ac:dyDescent="0.35">
      <c r="A694" s="195">
        <v>5</v>
      </c>
      <c r="B694" s="195">
        <v>45</v>
      </c>
      <c r="C694" s="195" t="s">
        <v>1103</v>
      </c>
      <c r="D694" s="64">
        <v>4550</v>
      </c>
      <c r="E694" s="195" t="s">
        <v>366</v>
      </c>
      <c r="F694" s="71" t="s">
        <v>367</v>
      </c>
      <c r="G694" s="71" t="s">
        <v>1013</v>
      </c>
      <c r="H694" s="71" t="s">
        <v>363</v>
      </c>
      <c r="I694" s="71" t="s">
        <v>1054</v>
      </c>
    </row>
    <row r="695" spans="1:9" ht="58" x14ac:dyDescent="0.35">
      <c r="A695" s="195">
        <v>5</v>
      </c>
      <c r="B695" s="195">
        <v>46</v>
      </c>
      <c r="C695" s="195" t="s">
        <v>1104</v>
      </c>
      <c r="D695" s="64">
        <v>4550</v>
      </c>
      <c r="E695" s="195" t="s">
        <v>366</v>
      </c>
      <c r="F695" s="71" t="s">
        <v>367</v>
      </c>
      <c r="G695" s="71" t="s">
        <v>4175</v>
      </c>
      <c r="H695" s="71" t="s">
        <v>371</v>
      </c>
      <c r="I695" s="71" t="s">
        <v>1054</v>
      </c>
    </row>
    <row r="696" spans="1:9" ht="58" x14ac:dyDescent="0.35">
      <c r="A696" s="195">
        <v>5</v>
      </c>
      <c r="B696" s="195">
        <v>47</v>
      </c>
      <c r="C696" s="195" t="s">
        <v>1105</v>
      </c>
      <c r="D696" s="64">
        <v>800</v>
      </c>
      <c r="E696" s="195" t="s">
        <v>373</v>
      </c>
      <c r="F696" s="71" t="s">
        <v>367</v>
      </c>
      <c r="G696" s="71" t="s">
        <v>4175</v>
      </c>
      <c r="H696" s="71" t="s">
        <v>371</v>
      </c>
      <c r="I696" s="71" t="s">
        <v>1060</v>
      </c>
    </row>
    <row r="697" spans="1:9" ht="58" x14ac:dyDescent="0.35">
      <c r="A697" s="195">
        <v>5</v>
      </c>
      <c r="B697" s="195">
        <v>48</v>
      </c>
      <c r="C697" s="195" t="s">
        <v>1106</v>
      </c>
      <c r="D697" s="64">
        <v>735</v>
      </c>
      <c r="E697" s="195" t="s">
        <v>373</v>
      </c>
      <c r="F697" s="71" t="s">
        <v>367</v>
      </c>
      <c r="G697" s="71" t="s">
        <v>4175</v>
      </c>
      <c r="H697" s="71" t="s">
        <v>371</v>
      </c>
      <c r="I697" s="71" t="s">
        <v>1062</v>
      </c>
    </row>
    <row r="698" spans="1:9" ht="58" x14ac:dyDescent="0.35">
      <c r="A698" s="195">
        <v>5</v>
      </c>
      <c r="B698" s="195">
        <v>49</v>
      </c>
      <c r="C698" s="195" t="s">
        <v>1107</v>
      </c>
      <c r="D698" s="64">
        <v>3015</v>
      </c>
      <c r="E698" s="195" t="s">
        <v>373</v>
      </c>
      <c r="F698" s="71" t="s">
        <v>367</v>
      </c>
      <c r="G698" s="71" t="s">
        <v>4175</v>
      </c>
      <c r="H698" s="71" t="s">
        <v>371</v>
      </c>
      <c r="I698" s="71" t="s">
        <v>1064</v>
      </c>
    </row>
    <row r="699" spans="1:9" ht="58" x14ac:dyDescent="0.35">
      <c r="A699" s="195">
        <v>5</v>
      </c>
      <c r="B699" s="195">
        <v>50</v>
      </c>
      <c r="C699" s="195" t="s">
        <v>1108</v>
      </c>
      <c r="D699" s="195">
        <v>0</v>
      </c>
      <c r="E699" s="195" t="s">
        <v>366</v>
      </c>
      <c r="F699" s="71" t="s">
        <v>367</v>
      </c>
      <c r="G699" s="71" t="s">
        <v>4175</v>
      </c>
      <c r="H699" s="71" t="s">
        <v>388</v>
      </c>
      <c r="I699" s="71" t="s">
        <v>1054</v>
      </c>
    </row>
    <row r="700" spans="1:9" ht="58" x14ac:dyDescent="0.35">
      <c r="A700" s="195">
        <v>5</v>
      </c>
      <c r="B700" s="195">
        <v>51</v>
      </c>
      <c r="C700" s="195" t="s">
        <v>1109</v>
      </c>
      <c r="D700" s="195">
        <v>0</v>
      </c>
      <c r="E700" s="195" t="s">
        <v>373</v>
      </c>
      <c r="F700" s="71" t="s">
        <v>367</v>
      </c>
      <c r="G700" s="71" t="s">
        <v>4175</v>
      </c>
      <c r="H700" s="71" t="s">
        <v>388</v>
      </c>
      <c r="I700" s="71" t="s">
        <v>1060</v>
      </c>
    </row>
    <row r="701" spans="1:9" ht="58" x14ac:dyDescent="0.35">
      <c r="A701" s="195">
        <v>5</v>
      </c>
      <c r="B701" s="195">
        <v>52</v>
      </c>
      <c r="C701" s="195" t="s">
        <v>1110</v>
      </c>
      <c r="D701" s="195">
        <v>0</v>
      </c>
      <c r="E701" s="195" t="s">
        <v>373</v>
      </c>
      <c r="F701" s="71" t="s">
        <v>367</v>
      </c>
      <c r="G701" s="71" t="s">
        <v>4175</v>
      </c>
      <c r="H701" s="71" t="s">
        <v>388</v>
      </c>
      <c r="I701" s="71" t="s">
        <v>1062</v>
      </c>
    </row>
    <row r="702" spans="1:9" ht="58" x14ac:dyDescent="0.35">
      <c r="A702" s="195">
        <v>5</v>
      </c>
      <c r="B702" s="195">
        <v>53</v>
      </c>
      <c r="C702" s="195" t="s">
        <v>1111</v>
      </c>
      <c r="D702" s="195">
        <v>0</v>
      </c>
      <c r="E702" s="195" t="s">
        <v>373</v>
      </c>
      <c r="F702" s="71" t="s">
        <v>367</v>
      </c>
      <c r="G702" s="71" t="s">
        <v>4175</v>
      </c>
      <c r="H702" s="71" t="s">
        <v>388</v>
      </c>
      <c r="I702" s="71" t="s">
        <v>1064</v>
      </c>
    </row>
    <row r="703" spans="1:9" ht="58" x14ac:dyDescent="0.35">
      <c r="A703" s="195">
        <v>5</v>
      </c>
      <c r="B703" s="195">
        <v>54</v>
      </c>
      <c r="C703" s="195" t="s">
        <v>1112</v>
      </c>
      <c r="D703" s="195">
        <v>0</v>
      </c>
      <c r="E703" s="195" t="s">
        <v>366</v>
      </c>
      <c r="F703" s="71" t="s">
        <v>367</v>
      </c>
      <c r="G703" s="71" t="s">
        <v>4175</v>
      </c>
      <c r="H703" s="71" t="s">
        <v>397</v>
      </c>
      <c r="I703" s="71" t="s">
        <v>1054</v>
      </c>
    </row>
    <row r="704" spans="1:9" ht="58" x14ac:dyDescent="0.35">
      <c r="A704" s="195">
        <v>5</v>
      </c>
      <c r="B704" s="195">
        <v>55</v>
      </c>
      <c r="C704" s="195" t="s">
        <v>1113</v>
      </c>
      <c r="D704" s="195">
        <v>0</v>
      </c>
      <c r="E704" s="195" t="s">
        <v>373</v>
      </c>
      <c r="F704" s="71" t="s">
        <v>367</v>
      </c>
      <c r="G704" s="71" t="s">
        <v>4175</v>
      </c>
      <c r="H704" s="71" t="s">
        <v>397</v>
      </c>
      <c r="I704" s="71" t="s">
        <v>1060</v>
      </c>
    </row>
    <row r="705" spans="1:9" ht="58" x14ac:dyDescent="0.35">
      <c r="A705" s="195">
        <v>5</v>
      </c>
      <c r="B705" s="195">
        <v>56</v>
      </c>
      <c r="C705" s="195" t="s">
        <v>1114</v>
      </c>
      <c r="D705" s="195">
        <v>0</v>
      </c>
      <c r="E705" s="195" t="s">
        <v>373</v>
      </c>
      <c r="F705" s="71" t="s">
        <v>367</v>
      </c>
      <c r="G705" s="71" t="s">
        <v>4175</v>
      </c>
      <c r="H705" s="71" t="s">
        <v>397</v>
      </c>
      <c r="I705" s="71" t="s">
        <v>1062</v>
      </c>
    </row>
    <row r="706" spans="1:9" ht="58" x14ac:dyDescent="0.35">
      <c r="A706" s="195">
        <v>5</v>
      </c>
      <c r="B706" s="195">
        <v>57</v>
      </c>
      <c r="C706" s="195" t="s">
        <v>1115</v>
      </c>
      <c r="D706" s="195">
        <v>0</v>
      </c>
      <c r="E706" s="195" t="s">
        <v>373</v>
      </c>
      <c r="F706" s="71" t="s">
        <v>367</v>
      </c>
      <c r="G706" s="71" t="s">
        <v>4175</v>
      </c>
      <c r="H706" s="71" t="s">
        <v>397</v>
      </c>
      <c r="I706" s="71" t="s">
        <v>1064</v>
      </c>
    </row>
    <row r="707" spans="1:9" ht="58" x14ac:dyDescent="0.35">
      <c r="A707" s="195">
        <v>5</v>
      </c>
      <c r="B707" s="195">
        <v>58</v>
      </c>
      <c r="C707" s="195" t="s">
        <v>1116</v>
      </c>
      <c r="D707" s="195">
        <v>0</v>
      </c>
      <c r="E707" s="195" t="s">
        <v>366</v>
      </c>
      <c r="F707" s="71" t="s">
        <v>367</v>
      </c>
      <c r="G707" s="71" t="s">
        <v>4175</v>
      </c>
      <c r="H707" s="71" t="s">
        <v>406</v>
      </c>
      <c r="I707" s="71" t="s">
        <v>1054</v>
      </c>
    </row>
    <row r="708" spans="1:9" ht="58" x14ac:dyDescent="0.35">
      <c r="A708" s="195">
        <v>5</v>
      </c>
      <c r="B708" s="195">
        <v>59</v>
      </c>
      <c r="C708" s="195" t="s">
        <v>1117</v>
      </c>
      <c r="D708" s="195">
        <v>0</v>
      </c>
      <c r="E708" s="195" t="s">
        <v>373</v>
      </c>
      <c r="F708" s="71" t="s">
        <v>367</v>
      </c>
      <c r="G708" s="71" t="s">
        <v>4175</v>
      </c>
      <c r="H708" s="71" t="s">
        <v>406</v>
      </c>
      <c r="I708" s="71" t="s">
        <v>1060</v>
      </c>
    </row>
    <row r="709" spans="1:9" ht="58" x14ac:dyDescent="0.35">
      <c r="A709" s="195">
        <v>5</v>
      </c>
      <c r="B709" s="195">
        <v>60</v>
      </c>
      <c r="C709" s="195" t="s">
        <v>1118</v>
      </c>
      <c r="D709" s="195">
        <v>0</v>
      </c>
      <c r="E709" s="195" t="s">
        <v>373</v>
      </c>
      <c r="F709" s="71" t="s">
        <v>367</v>
      </c>
      <c r="G709" s="71" t="s">
        <v>4175</v>
      </c>
      <c r="H709" s="71" t="s">
        <v>406</v>
      </c>
      <c r="I709" s="71" t="s">
        <v>1062</v>
      </c>
    </row>
    <row r="710" spans="1:9" ht="58" x14ac:dyDescent="0.35">
      <c r="A710" s="195">
        <v>5</v>
      </c>
      <c r="B710" s="195">
        <v>61</v>
      </c>
      <c r="C710" s="195" t="s">
        <v>1119</v>
      </c>
      <c r="D710" s="195">
        <v>0</v>
      </c>
      <c r="E710" s="195" t="s">
        <v>373</v>
      </c>
      <c r="F710" s="71" t="s">
        <v>367</v>
      </c>
      <c r="G710" s="71" t="s">
        <v>4175</v>
      </c>
      <c r="H710" s="71" t="s">
        <v>406</v>
      </c>
      <c r="I710" s="71" t="s">
        <v>1064</v>
      </c>
    </row>
    <row r="711" spans="1:9" ht="58" x14ac:dyDescent="0.35">
      <c r="A711" s="195">
        <v>5</v>
      </c>
      <c r="B711" s="195">
        <v>62</v>
      </c>
      <c r="C711" s="195" t="s">
        <v>1120</v>
      </c>
      <c r="D711" s="195">
        <v>0</v>
      </c>
      <c r="E711" s="195" t="s">
        <v>366</v>
      </c>
      <c r="F711" s="71" t="s">
        <v>367</v>
      </c>
      <c r="G711" s="71" t="s">
        <v>4175</v>
      </c>
      <c r="H711" s="71" t="s">
        <v>415</v>
      </c>
      <c r="I711" s="71" t="s">
        <v>1054</v>
      </c>
    </row>
    <row r="712" spans="1:9" ht="58" x14ac:dyDescent="0.35">
      <c r="A712" s="195">
        <v>5</v>
      </c>
      <c r="B712" s="195">
        <v>63</v>
      </c>
      <c r="C712" s="195" t="s">
        <v>1121</v>
      </c>
      <c r="D712" s="195">
        <v>0</v>
      </c>
      <c r="E712" s="195" t="s">
        <v>373</v>
      </c>
      <c r="F712" s="71" t="s">
        <v>367</v>
      </c>
      <c r="G712" s="71" t="s">
        <v>4175</v>
      </c>
      <c r="H712" s="71" t="s">
        <v>415</v>
      </c>
      <c r="I712" s="71" t="s">
        <v>1060</v>
      </c>
    </row>
    <row r="713" spans="1:9" ht="58" x14ac:dyDescent="0.35">
      <c r="A713" s="195">
        <v>5</v>
      </c>
      <c r="B713" s="195">
        <v>64</v>
      </c>
      <c r="C713" s="195" t="s">
        <v>1122</v>
      </c>
      <c r="D713" s="195">
        <v>0</v>
      </c>
      <c r="E713" s="195" t="s">
        <v>373</v>
      </c>
      <c r="F713" s="71" t="s">
        <v>367</v>
      </c>
      <c r="G713" s="71" t="s">
        <v>4175</v>
      </c>
      <c r="H713" s="71" t="s">
        <v>415</v>
      </c>
      <c r="I713" s="71" t="s">
        <v>1062</v>
      </c>
    </row>
    <row r="714" spans="1:9" ht="58" x14ac:dyDescent="0.35">
      <c r="A714" s="195">
        <v>5</v>
      </c>
      <c r="B714" s="195">
        <v>65</v>
      </c>
      <c r="C714" s="195" t="s">
        <v>1123</v>
      </c>
      <c r="D714" s="195">
        <v>0</v>
      </c>
      <c r="E714" s="195" t="s">
        <v>373</v>
      </c>
      <c r="F714" s="71" t="s">
        <v>367</v>
      </c>
      <c r="G714" s="71" t="s">
        <v>4175</v>
      </c>
      <c r="H714" s="71" t="s">
        <v>415</v>
      </c>
      <c r="I714" s="71" t="s">
        <v>1064</v>
      </c>
    </row>
    <row r="715" spans="1:9" x14ac:dyDescent="0.35">
      <c r="A715" s="195">
        <v>5</v>
      </c>
      <c r="B715" s="195">
        <v>66</v>
      </c>
      <c r="C715" s="195" t="s">
        <v>1124</v>
      </c>
      <c r="D715" s="64">
        <v>582690</v>
      </c>
      <c r="E715" s="195" t="s">
        <v>366</v>
      </c>
      <c r="F715" s="71" t="s">
        <v>508</v>
      </c>
      <c r="G715" s="71" t="s">
        <v>362</v>
      </c>
      <c r="H715" s="71" t="s">
        <v>363</v>
      </c>
      <c r="I715" s="71" t="s">
        <v>1054</v>
      </c>
    </row>
    <row r="716" spans="1:9" ht="43.5" x14ac:dyDescent="0.35">
      <c r="A716" s="195">
        <v>5</v>
      </c>
      <c r="B716" s="195">
        <v>67</v>
      </c>
      <c r="C716" s="195" t="s">
        <v>1125</v>
      </c>
      <c r="D716" s="64">
        <v>288745</v>
      </c>
      <c r="E716" s="195" t="s">
        <v>366</v>
      </c>
      <c r="F716" s="71" t="s">
        <v>508</v>
      </c>
      <c r="G716" s="71" t="s">
        <v>1057</v>
      </c>
      <c r="H716" s="71" t="s">
        <v>363</v>
      </c>
      <c r="I716" s="71" t="s">
        <v>1054</v>
      </c>
    </row>
    <row r="717" spans="1:9" ht="43.5" x14ac:dyDescent="0.35">
      <c r="A717" s="195">
        <v>5</v>
      </c>
      <c r="B717" s="195">
        <v>68</v>
      </c>
      <c r="C717" s="195" t="s">
        <v>1126</v>
      </c>
      <c r="D717" s="64">
        <v>147270</v>
      </c>
      <c r="E717" s="195" t="s">
        <v>366</v>
      </c>
      <c r="F717" s="71" t="s">
        <v>508</v>
      </c>
      <c r="G717" s="71" t="s">
        <v>1057</v>
      </c>
      <c r="H717" s="71" t="s">
        <v>371</v>
      </c>
      <c r="I717" s="71" t="s">
        <v>1054</v>
      </c>
    </row>
    <row r="718" spans="1:9" ht="43.5" x14ac:dyDescent="0.35">
      <c r="A718" s="195">
        <v>5</v>
      </c>
      <c r="B718" s="195">
        <v>69</v>
      </c>
      <c r="C718" s="195" t="s">
        <v>1127</v>
      </c>
      <c r="D718" s="64">
        <v>24525</v>
      </c>
      <c r="E718" s="195" t="s">
        <v>373</v>
      </c>
      <c r="F718" s="71" t="s">
        <v>508</v>
      </c>
      <c r="G718" s="71" t="s">
        <v>1057</v>
      </c>
      <c r="H718" s="71" t="s">
        <v>371</v>
      </c>
      <c r="I718" s="71" t="s">
        <v>1060</v>
      </c>
    </row>
    <row r="719" spans="1:9" ht="43.5" x14ac:dyDescent="0.35">
      <c r="A719" s="195">
        <v>5</v>
      </c>
      <c r="B719" s="195">
        <v>70</v>
      </c>
      <c r="C719" s="195" t="s">
        <v>1128</v>
      </c>
      <c r="D719" s="64">
        <v>13535</v>
      </c>
      <c r="E719" s="195" t="s">
        <v>373</v>
      </c>
      <c r="F719" s="71" t="s">
        <v>508</v>
      </c>
      <c r="G719" s="71" t="s">
        <v>1057</v>
      </c>
      <c r="H719" s="71" t="s">
        <v>371</v>
      </c>
      <c r="I719" s="71" t="s">
        <v>1062</v>
      </c>
    </row>
    <row r="720" spans="1:9" ht="43.5" x14ac:dyDescent="0.35">
      <c r="A720" s="195">
        <v>5</v>
      </c>
      <c r="B720" s="195">
        <v>71</v>
      </c>
      <c r="C720" s="195" t="s">
        <v>1129</v>
      </c>
      <c r="D720" s="64">
        <v>109210</v>
      </c>
      <c r="E720" s="195" t="s">
        <v>373</v>
      </c>
      <c r="F720" s="71" t="s">
        <v>508</v>
      </c>
      <c r="G720" s="71" t="s">
        <v>1057</v>
      </c>
      <c r="H720" s="71" t="s">
        <v>371</v>
      </c>
      <c r="I720" s="71" t="s">
        <v>1064</v>
      </c>
    </row>
    <row r="721" spans="1:9" ht="43.5" x14ac:dyDescent="0.35">
      <c r="A721" s="195">
        <v>5</v>
      </c>
      <c r="B721" s="195">
        <v>72</v>
      </c>
      <c r="C721" s="195" t="s">
        <v>1130</v>
      </c>
      <c r="D721" s="64">
        <v>77735</v>
      </c>
      <c r="E721" s="195" t="s">
        <v>366</v>
      </c>
      <c r="F721" s="71" t="s">
        <v>508</v>
      </c>
      <c r="G721" s="71" t="s">
        <v>1057</v>
      </c>
      <c r="H721" s="71" t="s">
        <v>388</v>
      </c>
      <c r="I721" s="71" t="s">
        <v>1054</v>
      </c>
    </row>
    <row r="722" spans="1:9" ht="43.5" x14ac:dyDescent="0.35">
      <c r="A722" s="195">
        <v>5</v>
      </c>
      <c r="B722" s="195">
        <v>73</v>
      </c>
      <c r="C722" s="195" t="s">
        <v>1131</v>
      </c>
      <c r="D722" s="64">
        <v>11520</v>
      </c>
      <c r="E722" s="195" t="s">
        <v>373</v>
      </c>
      <c r="F722" s="71" t="s">
        <v>508</v>
      </c>
      <c r="G722" s="71" t="s">
        <v>1057</v>
      </c>
      <c r="H722" s="71" t="s">
        <v>388</v>
      </c>
      <c r="I722" s="71" t="s">
        <v>1060</v>
      </c>
    </row>
    <row r="723" spans="1:9" ht="43.5" x14ac:dyDescent="0.35">
      <c r="A723" s="195">
        <v>5</v>
      </c>
      <c r="B723" s="195">
        <v>74</v>
      </c>
      <c r="C723" s="195" t="s">
        <v>1132</v>
      </c>
      <c r="D723" s="64">
        <v>4650</v>
      </c>
      <c r="E723" s="195" t="s">
        <v>373</v>
      </c>
      <c r="F723" s="71" t="s">
        <v>508</v>
      </c>
      <c r="G723" s="71" t="s">
        <v>1057</v>
      </c>
      <c r="H723" s="71" t="s">
        <v>388</v>
      </c>
      <c r="I723" s="71" t="s">
        <v>1062</v>
      </c>
    </row>
    <row r="724" spans="1:9" ht="43.5" x14ac:dyDescent="0.35">
      <c r="A724" s="195">
        <v>5</v>
      </c>
      <c r="B724" s="195">
        <v>75</v>
      </c>
      <c r="C724" s="195" t="s">
        <v>1133</v>
      </c>
      <c r="D724" s="64">
        <v>61565</v>
      </c>
      <c r="E724" s="195" t="s">
        <v>373</v>
      </c>
      <c r="F724" s="71" t="s">
        <v>508</v>
      </c>
      <c r="G724" s="71" t="s">
        <v>1057</v>
      </c>
      <c r="H724" s="71" t="s">
        <v>388</v>
      </c>
      <c r="I724" s="71" t="s">
        <v>1064</v>
      </c>
    </row>
    <row r="725" spans="1:9" ht="43.5" x14ac:dyDescent="0.35">
      <c r="A725" s="195">
        <v>5</v>
      </c>
      <c r="B725" s="195">
        <v>76</v>
      </c>
      <c r="C725" s="195" t="s">
        <v>1134</v>
      </c>
      <c r="D725" s="64">
        <v>40535</v>
      </c>
      <c r="E725" s="195" t="s">
        <v>366</v>
      </c>
      <c r="F725" s="71" t="s">
        <v>508</v>
      </c>
      <c r="G725" s="71" t="s">
        <v>1057</v>
      </c>
      <c r="H725" s="71" t="s">
        <v>397</v>
      </c>
      <c r="I725" s="71" t="s">
        <v>1054</v>
      </c>
    </row>
    <row r="726" spans="1:9" ht="43.5" x14ac:dyDescent="0.35">
      <c r="A726" s="195">
        <v>5</v>
      </c>
      <c r="B726" s="195">
        <v>77</v>
      </c>
      <c r="C726" s="195" t="s">
        <v>1135</v>
      </c>
      <c r="D726" s="64">
        <v>3990</v>
      </c>
      <c r="E726" s="195" t="s">
        <v>373</v>
      </c>
      <c r="F726" s="71" t="s">
        <v>508</v>
      </c>
      <c r="G726" s="71" t="s">
        <v>1057</v>
      </c>
      <c r="H726" s="71" t="s">
        <v>397</v>
      </c>
      <c r="I726" s="71" t="s">
        <v>1060</v>
      </c>
    </row>
    <row r="727" spans="1:9" ht="43.5" x14ac:dyDescent="0.35">
      <c r="A727" s="195">
        <v>5</v>
      </c>
      <c r="B727" s="195">
        <v>78</v>
      </c>
      <c r="C727" s="195" t="s">
        <v>1136</v>
      </c>
      <c r="D727" s="64">
        <v>1770</v>
      </c>
      <c r="E727" s="195" t="s">
        <v>373</v>
      </c>
      <c r="F727" s="71" t="s">
        <v>508</v>
      </c>
      <c r="G727" s="71" t="s">
        <v>1057</v>
      </c>
      <c r="H727" s="71" t="s">
        <v>397</v>
      </c>
      <c r="I727" s="71" t="s">
        <v>1062</v>
      </c>
    </row>
    <row r="728" spans="1:9" ht="43.5" x14ac:dyDescent="0.35">
      <c r="A728" s="195">
        <v>5</v>
      </c>
      <c r="B728" s="195">
        <v>79</v>
      </c>
      <c r="C728" s="195" t="s">
        <v>1137</v>
      </c>
      <c r="D728" s="64">
        <v>34775</v>
      </c>
      <c r="E728" s="195" t="s">
        <v>373</v>
      </c>
      <c r="F728" s="71" t="s">
        <v>508</v>
      </c>
      <c r="G728" s="71" t="s">
        <v>1057</v>
      </c>
      <c r="H728" s="71" t="s">
        <v>397</v>
      </c>
      <c r="I728" s="71" t="s">
        <v>1064</v>
      </c>
    </row>
    <row r="729" spans="1:9" ht="43.5" x14ac:dyDescent="0.35">
      <c r="A729" s="195">
        <v>5</v>
      </c>
      <c r="B729" s="195">
        <v>80</v>
      </c>
      <c r="C729" s="195" t="s">
        <v>1138</v>
      </c>
      <c r="D729" s="64">
        <v>10985</v>
      </c>
      <c r="E729" s="195" t="s">
        <v>366</v>
      </c>
      <c r="F729" s="71" t="s">
        <v>508</v>
      </c>
      <c r="G729" s="71" t="s">
        <v>1057</v>
      </c>
      <c r="H729" s="71" t="s">
        <v>406</v>
      </c>
      <c r="I729" s="71" t="s">
        <v>1054</v>
      </c>
    </row>
    <row r="730" spans="1:9" ht="43.5" x14ac:dyDescent="0.35">
      <c r="A730" s="195">
        <v>5</v>
      </c>
      <c r="B730" s="195">
        <v>81</v>
      </c>
      <c r="C730" s="195" t="s">
        <v>1139</v>
      </c>
      <c r="D730" s="64">
        <v>685</v>
      </c>
      <c r="E730" s="195" t="s">
        <v>373</v>
      </c>
      <c r="F730" s="71" t="s">
        <v>508</v>
      </c>
      <c r="G730" s="71" t="s">
        <v>1057</v>
      </c>
      <c r="H730" s="71" t="s">
        <v>406</v>
      </c>
      <c r="I730" s="71" t="s">
        <v>1060</v>
      </c>
    </row>
    <row r="731" spans="1:9" ht="43.5" x14ac:dyDescent="0.35">
      <c r="A731" s="195">
        <v>5</v>
      </c>
      <c r="B731" s="195">
        <v>82</v>
      </c>
      <c r="C731" s="195" t="s">
        <v>1140</v>
      </c>
      <c r="D731" s="195">
        <v>290</v>
      </c>
      <c r="E731" s="195" t="s">
        <v>373</v>
      </c>
      <c r="F731" s="71" t="s">
        <v>508</v>
      </c>
      <c r="G731" s="71" t="s">
        <v>1057</v>
      </c>
      <c r="H731" s="71" t="s">
        <v>406</v>
      </c>
      <c r="I731" s="71" t="s">
        <v>1062</v>
      </c>
    </row>
    <row r="732" spans="1:9" ht="43.5" x14ac:dyDescent="0.35">
      <c r="A732" s="195">
        <v>5</v>
      </c>
      <c r="B732" s="195">
        <v>83</v>
      </c>
      <c r="C732" s="195" t="s">
        <v>1141</v>
      </c>
      <c r="D732" s="64">
        <v>10010</v>
      </c>
      <c r="E732" s="195" t="s">
        <v>373</v>
      </c>
      <c r="F732" s="71" t="s">
        <v>508</v>
      </c>
      <c r="G732" s="71" t="s">
        <v>1057</v>
      </c>
      <c r="H732" s="71" t="s">
        <v>406</v>
      </c>
      <c r="I732" s="71" t="s">
        <v>1064</v>
      </c>
    </row>
    <row r="733" spans="1:9" ht="43.5" x14ac:dyDescent="0.35">
      <c r="A733" s="195">
        <v>5</v>
      </c>
      <c r="B733" s="195">
        <v>84</v>
      </c>
      <c r="C733" s="195" t="s">
        <v>1142</v>
      </c>
      <c r="D733" s="64">
        <v>12220</v>
      </c>
      <c r="E733" s="195" t="s">
        <v>366</v>
      </c>
      <c r="F733" s="71" t="s">
        <v>508</v>
      </c>
      <c r="G733" s="71" t="s">
        <v>1057</v>
      </c>
      <c r="H733" s="71" t="s">
        <v>415</v>
      </c>
      <c r="I733" s="71" t="s">
        <v>1054</v>
      </c>
    </row>
    <row r="734" spans="1:9" ht="43.5" x14ac:dyDescent="0.35">
      <c r="A734" s="195">
        <v>5</v>
      </c>
      <c r="B734" s="195">
        <v>85</v>
      </c>
      <c r="C734" s="195" t="s">
        <v>1143</v>
      </c>
      <c r="D734" s="64">
        <v>635</v>
      </c>
      <c r="E734" s="195" t="s">
        <v>373</v>
      </c>
      <c r="F734" s="71" t="s">
        <v>508</v>
      </c>
      <c r="G734" s="71" t="s">
        <v>1057</v>
      </c>
      <c r="H734" s="71" t="s">
        <v>415</v>
      </c>
      <c r="I734" s="71" t="s">
        <v>1060</v>
      </c>
    </row>
    <row r="735" spans="1:9" ht="43.5" x14ac:dyDescent="0.35">
      <c r="A735" s="195">
        <v>5</v>
      </c>
      <c r="B735" s="195">
        <v>86</v>
      </c>
      <c r="C735" s="195" t="s">
        <v>1144</v>
      </c>
      <c r="D735" s="64">
        <v>575</v>
      </c>
      <c r="E735" s="195" t="s">
        <v>373</v>
      </c>
      <c r="F735" s="71" t="s">
        <v>508</v>
      </c>
      <c r="G735" s="71" t="s">
        <v>1057</v>
      </c>
      <c r="H735" s="71" t="s">
        <v>415</v>
      </c>
      <c r="I735" s="71" t="s">
        <v>1062</v>
      </c>
    </row>
    <row r="736" spans="1:9" ht="43.5" x14ac:dyDescent="0.35">
      <c r="A736" s="195">
        <v>5</v>
      </c>
      <c r="B736" s="195">
        <v>87</v>
      </c>
      <c r="C736" s="195" t="s">
        <v>1145</v>
      </c>
      <c r="D736" s="64">
        <v>11005</v>
      </c>
      <c r="E736" s="195" t="s">
        <v>373</v>
      </c>
      <c r="F736" s="71" t="s">
        <v>508</v>
      </c>
      <c r="G736" s="71" t="s">
        <v>1057</v>
      </c>
      <c r="H736" s="71" t="s">
        <v>415</v>
      </c>
      <c r="I736" s="71" t="s">
        <v>1064</v>
      </c>
    </row>
    <row r="737" spans="1:9" ht="29" x14ac:dyDescent="0.35">
      <c r="A737" s="195">
        <v>5</v>
      </c>
      <c r="B737" s="195">
        <v>88</v>
      </c>
      <c r="C737" s="195" t="s">
        <v>1146</v>
      </c>
      <c r="D737" s="64">
        <v>272635</v>
      </c>
      <c r="E737" s="195" t="s">
        <v>366</v>
      </c>
      <c r="F737" s="71" t="s">
        <v>508</v>
      </c>
      <c r="G737" s="71" t="s">
        <v>1082</v>
      </c>
      <c r="H737" s="71" t="s">
        <v>363</v>
      </c>
      <c r="I737" s="71" t="s">
        <v>1054</v>
      </c>
    </row>
    <row r="738" spans="1:9" ht="29" x14ac:dyDescent="0.35">
      <c r="A738" s="195">
        <v>5</v>
      </c>
      <c r="B738" s="195">
        <v>89</v>
      </c>
      <c r="C738" s="195" t="s">
        <v>1147</v>
      </c>
      <c r="D738" s="64">
        <v>22860</v>
      </c>
      <c r="E738" s="195" t="s">
        <v>366</v>
      </c>
      <c r="F738" s="71" t="s">
        <v>508</v>
      </c>
      <c r="G738" s="71" t="s">
        <v>1082</v>
      </c>
      <c r="H738" s="71" t="s">
        <v>371</v>
      </c>
      <c r="I738" s="71" t="s">
        <v>1054</v>
      </c>
    </row>
    <row r="739" spans="1:9" ht="43.5" x14ac:dyDescent="0.35">
      <c r="A739" s="195">
        <v>5</v>
      </c>
      <c r="B739" s="195">
        <v>90</v>
      </c>
      <c r="C739" s="195" t="s">
        <v>1148</v>
      </c>
      <c r="D739" s="64">
        <v>6950</v>
      </c>
      <c r="E739" s="195" t="s">
        <v>373</v>
      </c>
      <c r="F739" s="71" t="s">
        <v>508</v>
      </c>
      <c r="G739" s="71" t="s">
        <v>1082</v>
      </c>
      <c r="H739" s="71" t="s">
        <v>371</v>
      </c>
      <c r="I739" s="71" t="s">
        <v>1060</v>
      </c>
    </row>
    <row r="740" spans="1:9" ht="29" x14ac:dyDescent="0.35">
      <c r="A740" s="195">
        <v>5</v>
      </c>
      <c r="B740" s="195">
        <v>91</v>
      </c>
      <c r="C740" s="195" t="s">
        <v>1149</v>
      </c>
      <c r="D740" s="64">
        <v>5495</v>
      </c>
      <c r="E740" s="195" t="s">
        <v>373</v>
      </c>
      <c r="F740" s="71" t="s">
        <v>508</v>
      </c>
      <c r="G740" s="71" t="s">
        <v>1082</v>
      </c>
      <c r="H740" s="71" t="s">
        <v>371</v>
      </c>
      <c r="I740" s="71" t="s">
        <v>1062</v>
      </c>
    </row>
    <row r="741" spans="1:9" ht="29" x14ac:dyDescent="0.35">
      <c r="A741" s="195">
        <v>5</v>
      </c>
      <c r="B741" s="195">
        <v>92</v>
      </c>
      <c r="C741" s="195" t="s">
        <v>1150</v>
      </c>
      <c r="D741" s="64">
        <v>10420</v>
      </c>
      <c r="E741" s="195" t="s">
        <v>373</v>
      </c>
      <c r="F741" s="71" t="s">
        <v>508</v>
      </c>
      <c r="G741" s="71" t="s">
        <v>1082</v>
      </c>
      <c r="H741" s="71" t="s">
        <v>371</v>
      </c>
      <c r="I741" s="71" t="s">
        <v>1064</v>
      </c>
    </row>
    <row r="742" spans="1:9" ht="43.5" x14ac:dyDescent="0.35">
      <c r="A742" s="195">
        <v>5</v>
      </c>
      <c r="B742" s="195">
        <v>93</v>
      </c>
      <c r="C742" s="195" t="s">
        <v>1151</v>
      </c>
      <c r="D742" s="64">
        <v>21650</v>
      </c>
      <c r="E742" s="195" t="s">
        <v>366</v>
      </c>
      <c r="F742" s="71" t="s">
        <v>508</v>
      </c>
      <c r="G742" s="71" t="s">
        <v>1082</v>
      </c>
      <c r="H742" s="71" t="s">
        <v>388</v>
      </c>
      <c r="I742" s="71" t="s">
        <v>1054</v>
      </c>
    </row>
    <row r="743" spans="1:9" ht="43.5" x14ac:dyDescent="0.35">
      <c r="A743" s="195">
        <v>5</v>
      </c>
      <c r="B743" s="195">
        <v>94</v>
      </c>
      <c r="C743" s="195" t="s">
        <v>1152</v>
      </c>
      <c r="D743" s="64">
        <v>4305</v>
      </c>
      <c r="E743" s="195" t="s">
        <v>373</v>
      </c>
      <c r="F743" s="71" t="s">
        <v>508</v>
      </c>
      <c r="G743" s="71" t="s">
        <v>1082</v>
      </c>
      <c r="H743" s="71" t="s">
        <v>388</v>
      </c>
      <c r="I743" s="71" t="s">
        <v>1060</v>
      </c>
    </row>
    <row r="744" spans="1:9" ht="43.5" x14ac:dyDescent="0.35">
      <c r="A744" s="195">
        <v>5</v>
      </c>
      <c r="B744" s="195">
        <v>95</v>
      </c>
      <c r="C744" s="195" t="s">
        <v>1153</v>
      </c>
      <c r="D744" s="64">
        <v>2320</v>
      </c>
      <c r="E744" s="195" t="s">
        <v>373</v>
      </c>
      <c r="F744" s="71" t="s">
        <v>508</v>
      </c>
      <c r="G744" s="71" t="s">
        <v>1082</v>
      </c>
      <c r="H744" s="71" t="s">
        <v>388</v>
      </c>
      <c r="I744" s="71" t="s">
        <v>1062</v>
      </c>
    </row>
    <row r="745" spans="1:9" ht="43.5" x14ac:dyDescent="0.35">
      <c r="A745" s="195">
        <v>5</v>
      </c>
      <c r="B745" s="195">
        <v>96</v>
      </c>
      <c r="C745" s="195" t="s">
        <v>1154</v>
      </c>
      <c r="D745" s="64">
        <v>15020</v>
      </c>
      <c r="E745" s="195" t="s">
        <v>373</v>
      </c>
      <c r="F745" s="71" t="s">
        <v>508</v>
      </c>
      <c r="G745" s="71" t="s">
        <v>1082</v>
      </c>
      <c r="H745" s="71" t="s">
        <v>388</v>
      </c>
      <c r="I745" s="71" t="s">
        <v>1064</v>
      </c>
    </row>
    <row r="746" spans="1:9" ht="43.5" x14ac:dyDescent="0.35">
      <c r="A746" s="195">
        <v>5</v>
      </c>
      <c r="B746" s="195">
        <v>97</v>
      </c>
      <c r="C746" s="195" t="s">
        <v>1155</v>
      </c>
      <c r="D746" s="64">
        <v>58850</v>
      </c>
      <c r="E746" s="195" t="s">
        <v>366</v>
      </c>
      <c r="F746" s="71" t="s">
        <v>508</v>
      </c>
      <c r="G746" s="71" t="s">
        <v>1082</v>
      </c>
      <c r="H746" s="71" t="s">
        <v>397</v>
      </c>
      <c r="I746" s="71" t="s">
        <v>1054</v>
      </c>
    </row>
    <row r="747" spans="1:9" ht="43.5" x14ac:dyDescent="0.35">
      <c r="A747" s="195">
        <v>5</v>
      </c>
      <c r="B747" s="195">
        <v>98</v>
      </c>
      <c r="C747" s="195" t="s">
        <v>1156</v>
      </c>
      <c r="D747" s="64">
        <v>7165</v>
      </c>
      <c r="E747" s="195" t="s">
        <v>373</v>
      </c>
      <c r="F747" s="71" t="s">
        <v>508</v>
      </c>
      <c r="G747" s="71" t="s">
        <v>1082</v>
      </c>
      <c r="H747" s="71" t="s">
        <v>397</v>
      </c>
      <c r="I747" s="71" t="s">
        <v>1060</v>
      </c>
    </row>
    <row r="748" spans="1:9" ht="43.5" x14ac:dyDescent="0.35">
      <c r="A748" s="195">
        <v>5</v>
      </c>
      <c r="B748" s="195">
        <v>99</v>
      </c>
      <c r="C748" s="195" t="s">
        <v>1157</v>
      </c>
      <c r="D748" s="64">
        <v>2820</v>
      </c>
      <c r="E748" s="195" t="s">
        <v>373</v>
      </c>
      <c r="F748" s="71" t="s">
        <v>508</v>
      </c>
      <c r="G748" s="71" t="s">
        <v>1082</v>
      </c>
      <c r="H748" s="71" t="s">
        <v>397</v>
      </c>
      <c r="I748" s="71" t="s">
        <v>1062</v>
      </c>
    </row>
    <row r="749" spans="1:9" ht="43.5" x14ac:dyDescent="0.35">
      <c r="A749" s="195">
        <v>5</v>
      </c>
      <c r="B749" s="195">
        <v>100</v>
      </c>
      <c r="C749" s="195" t="s">
        <v>1158</v>
      </c>
      <c r="D749" s="64">
        <v>48865</v>
      </c>
      <c r="E749" s="195" t="s">
        <v>373</v>
      </c>
      <c r="F749" s="71" t="s">
        <v>508</v>
      </c>
      <c r="G749" s="71" t="s">
        <v>1082</v>
      </c>
      <c r="H749" s="71" t="s">
        <v>397</v>
      </c>
      <c r="I749" s="71" t="s">
        <v>1064</v>
      </c>
    </row>
    <row r="750" spans="1:9" ht="43.5" x14ac:dyDescent="0.35">
      <c r="A750" s="195">
        <v>5</v>
      </c>
      <c r="B750" s="195">
        <v>101</v>
      </c>
      <c r="C750" s="195" t="s">
        <v>1159</v>
      </c>
      <c r="D750" s="64">
        <v>34705</v>
      </c>
      <c r="E750" s="195" t="s">
        <v>366</v>
      </c>
      <c r="F750" s="71" t="s">
        <v>508</v>
      </c>
      <c r="G750" s="71" t="s">
        <v>1082</v>
      </c>
      <c r="H750" s="71" t="s">
        <v>406</v>
      </c>
      <c r="I750" s="71" t="s">
        <v>1054</v>
      </c>
    </row>
    <row r="751" spans="1:9" ht="43.5" x14ac:dyDescent="0.35">
      <c r="A751" s="195">
        <v>5</v>
      </c>
      <c r="B751" s="195">
        <v>102</v>
      </c>
      <c r="C751" s="195" t="s">
        <v>1160</v>
      </c>
      <c r="D751" s="64">
        <v>2760</v>
      </c>
      <c r="E751" s="195" t="s">
        <v>373</v>
      </c>
      <c r="F751" s="71" t="s">
        <v>508</v>
      </c>
      <c r="G751" s="71" t="s">
        <v>1082</v>
      </c>
      <c r="H751" s="71" t="s">
        <v>406</v>
      </c>
      <c r="I751" s="71" t="s">
        <v>1060</v>
      </c>
    </row>
    <row r="752" spans="1:9" ht="43.5" x14ac:dyDescent="0.35">
      <c r="A752" s="195">
        <v>5</v>
      </c>
      <c r="B752" s="195">
        <v>103</v>
      </c>
      <c r="C752" s="195" t="s">
        <v>1161</v>
      </c>
      <c r="D752" s="64">
        <v>830</v>
      </c>
      <c r="E752" s="195" t="s">
        <v>373</v>
      </c>
      <c r="F752" s="71" t="s">
        <v>508</v>
      </c>
      <c r="G752" s="71" t="s">
        <v>1082</v>
      </c>
      <c r="H752" s="71" t="s">
        <v>406</v>
      </c>
      <c r="I752" s="71" t="s">
        <v>1062</v>
      </c>
    </row>
    <row r="753" spans="1:9" ht="43.5" x14ac:dyDescent="0.35">
      <c r="A753" s="195">
        <v>5</v>
      </c>
      <c r="B753" s="195">
        <v>104</v>
      </c>
      <c r="C753" s="195" t="s">
        <v>1162</v>
      </c>
      <c r="D753" s="64">
        <v>31115</v>
      </c>
      <c r="E753" s="195" t="s">
        <v>373</v>
      </c>
      <c r="F753" s="71" t="s">
        <v>508</v>
      </c>
      <c r="G753" s="71" t="s">
        <v>1082</v>
      </c>
      <c r="H753" s="71" t="s">
        <v>406</v>
      </c>
      <c r="I753" s="71" t="s">
        <v>1064</v>
      </c>
    </row>
    <row r="754" spans="1:9" ht="29" x14ac:dyDescent="0.35">
      <c r="A754" s="195">
        <v>5</v>
      </c>
      <c r="B754" s="195">
        <v>105</v>
      </c>
      <c r="C754" s="195" t="s">
        <v>1163</v>
      </c>
      <c r="D754" s="64">
        <v>134565</v>
      </c>
      <c r="E754" s="195" t="s">
        <v>366</v>
      </c>
      <c r="F754" s="71" t="s">
        <v>508</v>
      </c>
      <c r="G754" s="71" t="s">
        <v>1082</v>
      </c>
      <c r="H754" s="71" t="s">
        <v>415</v>
      </c>
      <c r="I754" s="71" t="s">
        <v>1054</v>
      </c>
    </row>
    <row r="755" spans="1:9" ht="43.5" x14ac:dyDescent="0.35">
      <c r="A755" s="195">
        <v>5</v>
      </c>
      <c r="B755" s="195">
        <v>106</v>
      </c>
      <c r="C755" s="195" t="s">
        <v>1164</v>
      </c>
      <c r="D755" s="64">
        <v>8110</v>
      </c>
      <c r="E755" s="195" t="s">
        <v>373</v>
      </c>
      <c r="F755" s="71" t="s">
        <v>508</v>
      </c>
      <c r="G755" s="71" t="s">
        <v>1082</v>
      </c>
      <c r="H755" s="71" t="s">
        <v>415</v>
      </c>
      <c r="I755" s="71" t="s">
        <v>1060</v>
      </c>
    </row>
    <row r="756" spans="1:9" ht="29" x14ac:dyDescent="0.35">
      <c r="A756" s="195">
        <v>5</v>
      </c>
      <c r="B756" s="195">
        <v>107</v>
      </c>
      <c r="C756" s="195" t="s">
        <v>1165</v>
      </c>
      <c r="D756" s="64">
        <v>2270</v>
      </c>
      <c r="E756" s="195" t="s">
        <v>373</v>
      </c>
      <c r="F756" s="71" t="s">
        <v>508</v>
      </c>
      <c r="G756" s="71" t="s">
        <v>1082</v>
      </c>
      <c r="H756" s="71" t="s">
        <v>415</v>
      </c>
      <c r="I756" s="71" t="s">
        <v>1062</v>
      </c>
    </row>
    <row r="757" spans="1:9" ht="29" x14ac:dyDescent="0.35">
      <c r="A757" s="195">
        <v>5</v>
      </c>
      <c r="B757" s="195">
        <v>108</v>
      </c>
      <c r="C757" s="195" t="s">
        <v>1166</v>
      </c>
      <c r="D757" s="64">
        <v>124185</v>
      </c>
      <c r="E757" s="195" t="s">
        <v>373</v>
      </c>
      <c r="F757" s="71" t="s">
        <v>508</v>
      </c>
      <c r="G757" s="71" t="s">
        <v>1082</v>
      </c>
      <c r="H757" s="71" t="s">
        <v>415</v>
      </c>
      <c r="I757" s="71" t="s">
        <v>1064</v>
      </c>
    </row>
    <row r="758" spans="1:9" ht="58" x14ac:dyDescent="0.35">
      <c r="A758" s="195">
        <v>5</v>
      </c>
      <c r="B758" s="195">
        <v>109</v>
      </c>
      <c r="C758" s="195" t="s">
        <v>1167</v>
      </c>
      <c r="D758" s="64">
        <v>21310</v>
      </c>
      <c r="E758" s="195" t="s">
        <v>366</v>
      </c>
      <c r="F758" s="71" t="s">
        <v>508</v>
      </c>
      <c r="G758" s="71" t="s">
        <v>1013</v>
      </c>
      <c r="H758" s="71" t="s">
        <v>363</v>
      </c>
      <c r="I758" s="71" t="s">
        <v>1054</v>
      </c>
    </row>
    <row r="759" spans="1:9" ht="58" x14ac:dyDescent="0.35">
      <c r="A759" s="195">
        <v>5</v>
      </c>
      <c r="B759" s="195">
        <v>110</v>
      </c>
      <c r="C759" s="195" t="s">
        <v>1168</v>
      </c>
      <c r="D759" s="64">
        <v>21310</v>
      </c>
      <c r="E759" s="195" t="s">
        <v>366</v>
      </c>
      <c r="F759" s="71" t="s">
        <v>508</v>
      </c>
      <c r="G759" s="71" t="s">
        <v>4175</v>
      </c>
      <c r="H759" s="71" t="s">
        <v>371</v>
      </c>
      <c r="I759" s="71" t="s">
        <v>1054</v>
      </c>
    </row>
    <row r="760" spans="1:9" ht="58" x14ac:dyDescent="0.35">
      <c r="A760" s="195">
        <v>5</v>
      </c>
      <c r="B760" s="195">
        <v>111</v>
      </c>
      <c r="C760" s="195" t="s">
        <v>1169</v>
      </c>
      <c r="D760" s="64">
        <v>1650</v>
      </c>
      <c r="E760" s="195" t="s">
        <v>373</v>
      </c>
      <c r="F760" s="71" t="s">
        <v>508</v>
      </c>
      <c r="G760" s="71" t="s">
        <v>4175</v>
      </c>
      <c r="H760" s="71" t="s">
        <v>371</v>
      </c>
      <c r="I760" s="71" t="s">
        <v>1060</v>
      </c>
    </row>
    <row r="761" spans="1:9" ht="58" x14ac:dyDescent="0.35">
      <c r="A761" s="195">
        <v>5</v>
      </c>
      <c r="B761" s="195">
        <v>112</v>
      </c>
      <c r="C761" s="195" t="s">
        <v>1170</v>
      </c>
      <c r="D761" s="64">
        <v>875</v>
      </c>
      <c r="E761" s="195" t="s">
        <v>373</v>
      </c>
      <c r="F761" s="71" t="s">
        <v>508</v>
      </c>
      <c r="G761" s="71" t="s">
        <v>4175</v>
      </c>
      <c r="H761" s="71" t="s">
        <v>371</v>
      </c>
      <c r="I761" s="71" t="s">
        <v>1062</v>
      </c>
    </row>
    <row r="762" spans="1:9" ht="58" x14ac:dyDescent="0.35">
      <c r="A762" s="195">
        <v>5</v>
      </c>
      <c r="B762" s="195">
        <v>113</v>
      </c>
      <c r="C762" s="195" t="s">
        <v>1171</v>
      </c>
      <c r="D762" s="64">
        <v>18785</v>
      </c>
      <c r="E762" s="195" t="s">
        <v>373</v>
      </c>
      <c r="F762" s="71" t="s">
        <v>508</v>
      </c>
      <c r="G762" s="71" t="s">
        <v>4175</v>
      </c>
      <c r="H762" s="71" t="s">
        <v>371</v>
      </c>
      <c r="I762" s="71" t="s">
        <v>1064</v>
      </c>
    </row>
    <row r="763" spans="1:9" ht="58" x14ac:dyDescent="0.35">
      <c r="A763" s="195">
        <v>5</v>
      </c>
      <c r="B763" s="195">
        <v>114</v>
      </c>
      <c r="C763" s="195" t="s">
        <v>1172</v>
      </c>
      <c r="D763" s="195">
        <v>0</v>
      </c>
      <c r="E763" s="195" t="s">
        <v>366</v>
      </c>
      <c r="F763" s="71" t="s">
        <v>508</v>
      </c>
      <c r="G763" s="71" t="s">
        <v>4175</v>
      </c>
      <c r="H763" s="71" t="s">
        <v>388</v>
      </c>
      <c r="I763" s="71" t="s">
        <v>1054</v>
      </c>
    </row>
    <row r="764" spans="1:9" ht="58" x14ac:dyDescent="0.35">
      <c r="A764" s="195">
        <v>5</v>
      </c>
      <c r="B764" s="195">
        <v>115</v>
      </c>
      <c r="C764" s="195" t="s">
        <v>1173</v>
      </c>
      <c r="D764" s="195">
        <v>0</v>
      </c>
      <c r="E764" s="195" t="s">
        <v>373</v>
      </c>
      <c r="F764" s="71" t="s">
        <v>508</v>
      </c>
      <c r="G764" s="71" t="s">
        <v>4175</v>
      </c>
      <c r="H764" s="71" t="s">
        <v>388</v>
      </c>
      <c r="I764" s="71" t="s">
        <v>1060</v>
      </c>
    </row>
    <row r="765" spans="1:9" ht="58" x14ac:dyDescent="0.35">
      <c r="A765" s="195">
        <v>5</v>
      </c>
      <c r="B765" s="195">
        <v>116</v>
      </c>
      <c r="C765" s="195" t="s">
        <v>1174</v>
      </c>
      <c r="D765" s="195">
        <v>0</v>
      </c>
      <c r="E765" s="195" t="s">
        <v>373</v>
      </c>
      <c r="F765" s="71" t="s">
        <v>508</v>
      </c>
      <c r="G765" s="71" t="s">
        <v>4175</v>
      </c>
      <c r="H765" s="71" t="s">
        <v>388</v>
      </c>
      <c r="I765" s="71" t="s">
        <v>1062</v>
      </c>
    </row>
    <row r="766" spans="1:9" ht="58" x14ac:dyDescent="0.35">
      <c r="A766" s="195">
        <v>5</v>
      </c>
      <c r="B766" s="195">
        <v>117</v>
      </c>
      <c r="C766" s="195" t="s">
        <v>1175</v>
      </c>
      <c r="D766" s="195">
        <v>0</v>
      </c>
      <c r="E766" s="195" t="s">
        <v>373</v>
      </c>
      <c r="F766" s="71" t="s">
        <v>508</v>
      </c>
      <c r="G766" s="71" t="s">
        <v>4175</v>
      </c>
      <c r="H766" s="71" t="s">
        <v>388</v>
      </c>
      <c r="I766" s="71" t="s">
        <v>1064</v>
      </c>
    </row>
    <row r="767" spans="1:9" ht="58" x14ac:dyDescent="0.35">
      <c r="A767" s="195">
        <v>5</v>
      </c>
      <c r="B767" s="195">
        <v>118</v>
      </c>
      <c r="C767" s="195" t="s">
        <v>1176</v>
      </c>
      <c r="D767" s="195">
        <v>0</v>
      </c>
      <c r="E767" s="195" t="s">
        <v>366</v>
      </c>
      <c r="F767" s="71" t="s">
        <v>508</v>
      </c>
      <c r="G767" s="71" t="s">
        <v>4175</v>
      </c>
      <c r="H767" s="71" t="s">
        <v>397</v>
      </c>
      <c r="I767" s="71" t="s">
        <v>1054</v>
      </c>
    </row>
    <row r="768" spans="1:9" ht="58" x14ac:dyDescent="0.35">
      <c r="A768" s="195">
        <v>5</v>
      </c>
      <c r="B768" s="195">
        <v>119</v>
      </c>
      <c r="C768" s="195" t="s">
        <v>1177</v>
      </c>
      <c r="D768" s="195">
        <v>0</v>
      </c>
      <c r="E768" s="195" t="s">
        <v>373</v>
      </c>
      <c r="F768" s="71" t="s">
        <v>508</v>
      </c>
      <c r="G768" s="71" t="s">
        <v>4175</v>
      </c>
      <c r="H768" s="71" t="s">
        <v>397</v>
      </c>
      <c r="I768" s="71" t="s">
        <v>1060</v>
      </c>
    </row>
    <row r="769" spans="1:9" ht="58" x14ac:dyDescent="0.35">
      <c r="A769" s="195">
        <v>5</v>
      </c>
      <c r="B769" s="195">
        <v>120</v>
      </c>
      <c r="C769" s="195" t="s">
        <v>1178</v>
      </c>
      <c r="D769" s="195">
        <v>0</v>
      </c>
      <c r="E769" s="195" t="s">
        <v>373</v>
      </c>
      <c r="F769" s="71" t="s">
        <v>508</v>
      </c>
      <c r="G769" s="71" t="s">
        <v>4175</v>
      </c>
      <c r="H769" s="71" t="s">
        <v>397</v>
      </c>
      <c r="I769" s="71" t="s">
        <v>1062</v>
      </c>
    </row>
    <row r="770" spans="1:9" ht="58" x14ac:dyDescent="0.35">
      <c r="A770" s="195">
        <v>5</v>
      </c>
      <c r="B770" s="195">
        <v>121</v>
      </c>
      <c r="C770" s="195" t="s">
        <v>1179</v>
      </c>
      <c r="D770" s="195">
        <v>0</v>
      </c>
      <c r="E770" s="195" t="s">
        <v>373</v>
      </c>
      <c r="F770" s="71" t="s">
        <v>508</v>
      </c>
      <c r="G770" s="71" t="s">
        <v>4175</v>
      </c>
      <c r="H770" s="71" t="s">
        <v>397</v>
      </c>
      <c r="I770" s="71" t="s">
        <v>1064</v>
      </c>
    </row>
    <row r="771" spans="1:9" ht="58" x14ac:dyDescent="0.35">
      <c r="A771" s="195">
        <v>5</v>
      </c>
      <c r="B771" s="195">
        <v>122</v>
      </c>
      <c r="C771" s="195" t="s">
        <v>1180</v>
      </c>
      <c r="D771" s="195">
        <v>0</v>
      </c>
      <c r="E771" s="195" t="s">
        <v>366</v>
      </c>
      <c r="F771" s="71" t="s">
        <v>508</v>
      </c>
      <c r="G771" s="71" t="s">
        <v>4175</v>
      </c>
      <c r="H771" s="71" t="s">
        <v>406</v>
      </c>
      <c r="I771" s="71" t="s">
        <v>1054</v>
      </c>
    </row>
    <row r="772" spans="1:9" ht="58" x14ac:dyDescent="0.35">
      <c r="A772" s="195">
        <v>5</v>
      </c>
      <c r="B772" s="195">
        <v>123</v>
      </c>
      <c r="C772" s="195" t="s">
        <v>1181</v>
      </c>
      <c r="D772" s="195">
        <v>0</v>
      </c>
      <c r="E772" s="195" t="s">
        <v>373</v>
      </c>
      <c r="F772" s="71" t="s">
        <v>508</v>
      </c>
      <c r="G772" s="71" t="s">
        <v>4175</v>
      </c>
      <c r="H772" s="71" t="s">
        <v>406</v>
      </c>
      <c r="I772" s="71" t="s">
        <v>1060</v>
      </c>
    </row>
    <row r="773" spans="1:9" ht="58" x14ac:dyDescent="0.35">
      <c r="A773" s="195">
        <v>5</v>
      </c>
      <c r="B773" s="195">
        <v>124</v>
      </c>
      <c r="C773" s="195" t="s">
        <v>1182</v>
      </c>
      <c r="D773" s="195">
        <v>0</v>
      </c>
      <c r="E773" s="195" t="s">
        <v>373</v>
      </c>
      <c r="F773" s="71" t="s">
        <v>508</v>
      </c>
      <c r="G773" s="71" t="s">
        <v>4175</v>
      </c>
      <c r="H773" s="71" t="s">
        <v>406</v>
      </c>
      <c r="I773" s="71" t="s">
        <v>1062</v>
      </c>
    </row>
    <row r="774" spans="1:9" ht="58" x14ac:dyDescent="0.35">
      <c r="A774" s="195">
        <v>5</v>
      </c>
      <c r="B774" s="195">
        <v>125</v>
      </c>
      <c r="C774" s="195" t="s">
        <v>1183</v>
      </c>
      <c r="D774" s="195">
        <v>0</v>
      </c>
      <c r="E774" s="195" t="s">
        <v>373</v>
      </c>
      <c r="F774" s="71" t="s">
        <v>508</v>
      </c>
      <c r="G774" s="71" t="s">
        <v>4175</v>
      </c>
      <c r="H774" s="71" t="s">
        <v>406</v>
      </c>
      <c r="I774" s="71" t="s">
        <v>1064</v>
      </c>
    </row>
    <row r="775" spans="1:9" ht="58" x14ac:dyDescent="0.35">
      <c r="A775" s="195">
        <v>5</v>
      </c>
      <c r="B775" s="195">
        <v>126</v>
      </c>
      <c r="C775" s="195" t="s">
        <v>1184</v>
      </c>
      <c r="D775" s="195">
        <v>0</v>
      </c>
      <c r="E775" s="195" t="s">
        <v>366</v>
      </c>
      <c r="F775" s="71" t="s">
        <v>508</v>
      </c>
      <c r="G775" s="71" t="s">
        <v>4175</v>
      </c>
      <c r="H775" s="71" t="s">
        <v>415</v>
      </c>
      <c r="I775" s="71" t="s">
        <v>1054</v>
      </c>
    </row>
    <row r="776" spans="1:9" ht="58" x14ac:dyDescent="0.35">
      <c r="A776" s="195">
        <v>5</v>
      </c>
      <c r="B776" s="195">
        <v>127</v>
      </c>
      <c r="C776" s="195" t="s">
        <v>1185</v>
      </c>
      <c r="D776" s="195">
        <v>0</v>
      </c>
      <c r="E776" s="195" t="s">
        <v>373</v>
      </c>
      <c r="F776" s="71" t="s">
        <v>508</v>
      </c>
      <c r="G776" s="71" t="s">
        <v>4175</v>
      </c>
      <c r="H776" s="71" t="s">
        <v>415</v>
      </c>
      <c r="I776" s="71" t="s">
        <v>1060</v>
      </c>
    </row>
    <row r="777" spans="1:9" ht="58" x14ac:dyDescent="0.35">
      <c r="A777" s="195">
        <v>5</v>
      </c>
      <c r="B777" s="195">
        <v>128</v>
      </c>
      <c r="C777" s="195" t="s">
        <v>1186</v>
      </c>
      <c r="D777" s="195">
        <v>0</v>
      </c>
      <c r="E777" s="195" t="s">
        <v>373</v>
      </c>
      <c r="F777" s="71" t="s">
        <v>508</v>
      </c>
      <c r="G777" s="71" t="s">
        <v>4175</v>
      </c>
      <c r="H777" s="71" t="s">
        <v>415</v>
      </c>
      <c r="I777" s="71" t="s">
        <v>1062</v>
      </c>
    </row>
    <row r="778" spans="1:9" ht="58" x14ac:dyDescent="0.35">
      <c r="A778" s="195">
        <v>5</v>
      </c>
      <c r="B778" s="195">
        <v>129</v>
      </c>
      <c r="C778" s="195" t="s">
        <v>1187</v>
      </c>
      <c r="D778" s="195">
        <v>0</v>
      </c>
      <c r="E778" s="195" t="s">
        <v>373</v>
      </c>
      <c r="F778" s="71" t="s">
        <v>508</v>
      </c>
      <c r="G778" s="71" t="s">
        <v>4175</v>
      </c>
      <c r="H778" s="71" t="s">
        <v>415</v>
      </c>
      <c r="I778" s="71" t="s">
        <v>1064</v>
      </c>
    </row>
    <row r="779" spans="1:9" x14ac:dyDescent="0.35">
      <c r="A779" s="195">
        <v>6</v>
      </c>
      <c r="B779" s="195">
        <v>1</v>
      </c>
      <c r="C779" s="195" t="s">
        <v>1188</v>
      </c>
      <c r="D779" s="64">
        <v>1042580</v>
      </c>
      <c r="E779" s="195" t="s">
        <v>26</v>
      </c>
      <c r="F779" s="71" t="s">
        <v>1189</v>
      </c>
      <c r="G779" s="71" t="s">
        <v>1190</v>
      </c>
      <c r="H779" s="71" t="s">
        <v>363</v>
      </c>
      <c r="I779" s="71" t="s">
        <v>362</v>
      </c>
    </row>
    <row r="780" spans="1:9" ht="43.5" x14ac:dyDescent="0.35">
      <c r="A780" s="195">
        <v>6</v>
      </c>
      <c r="B780" s="195">
        <v>2</v>
      </c>
      <c r="C780" s="195" t="s">
        <v>1191</v>
      </c>
      <c r="D780" s="64">
        <v>85100</v>
      </c>
      <c r="E780" s="195" t="s">
        <v>1192</v>
      </c>
      <c r="F780" s="71" t="s">
        <v>1193</v>
      </c>
      <c r="G780" s="71" t="s">
        <v>1194</v>
      </c>
      <c r="H780" s="71" t="s">
        <v>363</v>
      </c>
      <c r="I780" s="71" t="s">
        <v>362</v>
      </c>
    </row>
    <row r="781" spans="1:9" ht="43.5" x14ac:dyDescent="0.35">
      <c r="A781" s="195">
        <v>6</v>
      </c>
      <c r="B781" s="195">
        <v>3</v>
      </c>
      <c r="C781" s="195" t="s">
        <v>1195</v>
      </c>
      <c r="D781" s="64">
        <v>29365</v>
      </c>
      <c r="E781" s="195" t="s">
        <v>1192</v>
      </c>
      <c r="F781" s="71" t="s">
        <v>1193</v>
      </c>
      <c r="G781" s="71" t="s">
        <v>1194</v>
      </c>
      <c r="H781" s="71" t="s">
        <v>1196</v>
      </c>
      <c r="I781" s="71" t="s">
        <v>362</v>
      </c>
    </row>
    <row r="782" spans="1:9" ht="43.5" x14ac:dyDescent="0.35">
      <c r="A782" s="195">
        <v>6</v>
      </c>
      <c r="B782" s="195">
        <v>4</v>
      </c>
      <c r="C782" s="195" t="s">
        <v>1197</v>
      </c>
      <c r="D782" s="64">
        <v>22805</v>
      </c>
      <c r="E782" s="195" t="s">
        <v>1192</v>
      </c>
      <c r="F782" s="71" t="s">
        <v>1193</v>
      </c>
      <c r="G782" s="71" t="s">
        <v>1194</v>
      </c>
      <c r="H782" s="71" t="s">
        <v>1196</v>
      </c>
      <c r="I782" s="71" t="s">
        <v>1057</v>
      </c>
    </row>
    <row r="783" spans="1:9" ht="43.5" x14ac:dyDescent="0.35">
      <c r="A783" s="195">
        <v>6</v>
      </c>
      <c r="B783" s="195">
        <v>5</v>
      </c>
      <c r="C783" s="195" t="s">
        <v>1198</v>
      </c>
      <c r="D783" s="64">
        <v>5085</v>
      </c>
      <c r="E783" s="195" t="s">
        <v>1192</v>
      </c>
      <c r="F783" s="71" t="s">
        <v>1193</v>
      </c>
      <c r="G783" s="71" t="s">
        <v>1194</v>
      </c>
      <c r="H783" s="71" t="s">
        <v>1196</v>
      </c>
      <c r="I783" s="71" t="s">
        <v>1082</v>
      </c>
    </row>
    <row r="784" spans="1:9" ht="58" x14ac:dyDescent="0.35">
      <c r="A784" s="195">
        <v>6</v>
      </c>
      <c r="B784" s="195">
        <v>6</v>
      </c>
      <c r="C784" s="195" t="s">
        <v>1199</v>
      </c>
      <c r="D784" s="64">
        <v>1480</v>
      </c>
      <c r="E784" s="195" t="s">
        <v>1192</v>
      </c>
      <c r="F784" s="71" t="s">
        <v>1193</v>
      </c>
      <c r="G784" s="71" t="s">
        <v>1194</v>
      </c>
      <c r="H784" s="71" t="s">
        <v>1196</v>
      </c>
      <c r="I784" s="71" t="s">
        <v>4175</v>
      </c>
    </row>
    <row r="785" spans="1:9" ht="43.5" x14ac:dyDescent="0.35">
      <c r="A785" s="195">
        <v>6</v>
      </c>
      <c r="B785" s="195">
        <v>7</v>
      </c>
      <c r="C785" s="195" t="s">
        <v>1200</v>
      </c>
      <c r="D785" s="64">
        <v>15400</v>
      </c>
      <c r="E785" s="195" t="s">
        <v>1192</v>
      </c>
      <c r="F785" s="71" t="s">
        <v>1193</v>
      </c>
      <c r="G785" s="71" t="s">
        <v>1194</v>
      </c>
      <c r="H785" s="71" t="s">
        <v>1201</v>
      </c>
      <c r="I785" s="71" t="s">
        <v>362</v>
      </c>
    </row>
    <row r="786" spans="1:9" ht="43.5" x14ac:dyDescent="0.35">
      <c r="A786" s="195">
        <v>6</v>
      </c>
      <c r="B786" s="195">
        <v>8</v>
      </c>
      <c r="C786" s="195" t="s">
        <v>1202</v>
      </c>
      <c r="D786" s="64">
        <v>10565</v>
      </c>
      <c r="E786" s="195" t="s">
        <v>1192</v>
      </c>
      <c r="F786" s="71" t="s">
        <v>1193</v>
      </c>
      <c r="G786" s="71" t="s">
        <v>1194</v>
      </c>
      <c r="H786" s="71" t="s">
        <v>1201</v>
      </c>
      <c r="I786" s="71" t="s">
        <v>1057</v>
      </c>
    </row>
    <row r="787" spans="1:9" ht="43.5" x14ac:dyDescent="0.35">
      <c r="A787" s="195">
        <v>6</v>
      </c>
      <c r="B787" s="195">
        <v>9</v>
      </c>
      <c r="C787" s="195" t="s">
        <v>1203</v>
      </c>
      <c r="D787" s="64">
        <v>4835</v>
      </c>
      <c r="E787" s="195" t="s">
        <v>1192</v>
      </c>
      <c r="F787" s="71" t="s">
        <v>1193</v>
      </c>
      <c r="G787" s="71" t="s">
        <v>1194</v>
      </c>
      <c r="H787" s="71" t="s">
        <v>1201</v>
      </c>
      <c r="I787" s="71" t="s">
        <v>1082</v>
      </c>
    </row>
    <row r="788" spans="1:9" ht="58" x14ac:dyDescent="0.35">
      <c r="A788" s="195">
        <v>6</v>
      </c>
      <c r="B788" s="195">
        <v>10</v>
      </c>
      <c r="C788" s="195" t="s">
        <v>1204</v>
      </c>
      <c r="D788" s="195">
        <v>0</v>
      </c>
      <c r="E788" s="195" t="s">
        <v>1192</v>
      </c>
      <c r="F788" s="71" t="s">
        <v>1193</v>
      </c>
      <c r="G788" s="71" t="s">
        <v>1194</v>
      </c>
      <c r="H788" s="71" t="s">
        <v>1201</v>
      </c>
      <c r="I788" s="71" t="s">
        <v>4175</v>
      </c>
    </row>
    <row r="789" spans="1:9" ht="43.5" x14ac:dyDescent="0.35">
      <c r="A789" s="195">
        <v>6</v>
      </c>
      <c r="B789" s="195">
        <v>11</v>
      </c>
      <c r="C789" s="195" t="s">
        <v>1205</v>
      </c>
      <c r="D789" s="64">
        <v>14605</v>
      </c>
      <c r="E789" s="195" t="s">
        <v>1192</v>
      </c>
      <c r="F789" s="71" t="s">
        <v>1193</v>
      </c>
      <c r="G789" s="71" t="s">
        <v>1194</v>
      </c>
      <c r="H789" s="71" t="s">
        <v>1206</v>
      </c>
      <c r="I789" s="71" t="s">
        <v>362</v>
      </c>
    </row>
    <row r="790" spans="1:9" ht="43.5" x14ac:dyDescent="0.35">
      <c r="A790" s="195">
        <v>6</v>
      </c>
      <c r="B790" s="195">
        <v>12</v>
      </c>
      <c r="C790" s="195" t="s">
        <v>1207</v>
      </c>
      <c r="D790" s="64">
        <v>6185</v>
      </c>
      <c r="E790" s="195" t="s">
        <v>1192</v>
      </c>
      <c r="F790" s="71" t="s">
        <v>1193</v>
      </c>
      <c r="G790" s="71" t="s">
        <v>1194</v>
      </c>
      <c r="H790" s="71" t="s">
        <v>1206</v>
      </c>
      <c r="I790" s="71" t="s">
        <v>1057</v>
      </c>
    </row>
    <row r="791" spans="1:9" ht="43.5" x14ac:dyDescent="0.35">
      <c r="A791" s="195">
        <v>6</v>
      </c>
      <c r="B791" s="195">
        <v>13</v>
      </c>
      <c r="C791" s="195" t="s">
        <v>1208</v>
      </c>
      <c r="D791" s="64">
        <v>8420</v>
      </c>
      <c r="E791" s="195" t="s">
        <v>1192</v>
      </c>
      <c r="F791" s="71" t="s">
        <v>1193</v>
      </c>
      <c r="G791" s="71" t="s">
        <v>1194</v>
      </c>
      <c r="H791" s="71" t="s">
        <v>1206</v>
      </c>
      <c r="I791" s="71" t="s">
        <v>1082</v>
      </c>
    </row>
    <row r="792" spans="1:9" ht="58" x14ac:dyDescent="0.35">
      <c r="A792" s="195">
        <v>6</v>
      </c>
      <c r="B792" s="195">
        <v>14</v>
      </c>
      <c r="C792" s="195" t="s">
        <v>1209</v>
      </c>
      <c r="D792" s="195">
        <v>0</v>
      </c>
      <c r="E792" s="195" t="s">
        <v>1192</v>
      </c>
      <c r="F792" s="71" t="s">
        <v>1193</v>
      </c>
      <c r="G792" s="71" t="s">
        <v>1194</v>
      </c>
      <c r="H792" s="71" t="s">
        <v>1206</v>
      </c>
      <c r="I792" s="71" t="s">
        <v>4175</v>
      </c>
    </row>
    <row r="793" spans="1:9" ht="43.5" x14ac:dyDescent="0.35">
      <c r="A793" s="195">
        <v>6</v>
      </c>
      <c r="B793" s="195">
        <v>15</v>
      </c>
      <c r="C793" s="195" t="s">
        <v>1210</v>
      </c>
      <c r="D793" s="64">
        <v>25730</v>
      </c>
      <c r="E793" s="195" t="s">
        <v>1192</v>
      </c>
      <c r="F793" s="71" t="s">
        <v>1193</v>
      </c>
      <c r="G793" s="71" t="s">
        <v>1194</v>
      </c>
      <c r="H793" s="71" t="s">
        <v>1211</v>
      </c>
      <c r="I793" s="71" t="s">
        <v>362</v>
      </c>
    </row>
    <row r="794" spans="1:9" ht="43.5" x14ac:dyDescent="0.35">
      <c r="A794" s="195">
        <v>6</v>
      </c>
      <c r="B794" s="195">
        <v>16</v>
      </c>
      <c r="C794" s="195" t="s">
        <v>1212</v>
      </c>
      <c r="D794" s="64">
        <v>4115</v>
      </c>
      <c r="E794" s="195" t="s">
        <v>1192</v>
      </c>
      <c r="F794" s="71" t="s">
        <v>1193</v>
      </c>
      <c r="G794" s="71" t="s">
        <v>1194</v>
      </c>
      <c r="H794" s="71" t="s">
        <v>1211</v>
      </c>
      <c r="I794" s="71" t="s">
        <v>1057</v>
      </c>
    </row>
    <row r="795" spans="1:9" ht="43.5" x14ac:dyDescent="0.35">
      <c r="A795" s="195">
        <v>6</v>
      </c>
      <c r="B795" s="195">
        <v>17</v>
      </c>
      <c r="C795" s="195" t="s">
        <v>1213</v>
      </c>
      <c r="D795" s="64">
        <v>21615</v>
      </c>
      <c r="E795" s="195" t="s">
        <v>1192</v>
      </c>
      <c r="F795" s="71" t="s">
        <v>1193</v>
      </c>
      <c r="G795" s="71" t="s">
        <v>1194</v>
      </c>
      <c r="H795" s="71" t="s">
        <v>1211</v>
      </c>
      <c r="I795" s="71" t="s">
        <v>1082</v>
      </c>
    </row>
    <row r="796" spans="1:9" ht="58" x14ac:dyDescent="0.35">
      <c r="A796" s="195">
        <v>6</v>
      </c>
      <c r="B796" s="195">
        <v>18</v>
      </c>
      <c r="C796" s="195" t="s">
        <v>1214</v>
      </c>
      <c r="D796" s="195">
        <v>0</v>
      </c>
      <c r="E796" s="195" t="s">
        <v>1192</v>
      </c>
      <c r="F796" s="71" t="s">
        <v>1193</v>
      </c>
      <c r="G796" s="71" t="s">
        <v>1194</v>
      </c>
      <c r="H796" s="71" t="s">
        <v>1211</v>
      </c>
      <c r="I796" s="71" t="s">
        <v>4175</v>
      </c>
    </row>
    <row r="797" spans="1:9" ht="43.5" x14ac:dyDescent="0.35">
      <c r="A797" s="195">
        <v>6</v>
      </c>
      <c r="B797" s="195">
        <v>19</v>
      </c>
      <c r="C797" s="195" t="s">
        <v>1215</v>
      </c>
      <c r="D797" s="64">
        <v>139990</v>
      </c>
      <c r="E797" s="195" t="s">
        <v>1192</v>
      </c>
      <c r="F797" s="71" t="s">
        <v>1193</v>
      </c>
      <c r="G797" s="71" t="s">
        <v>1216</v>
      </c>
      <c r="H797" s="71" t="s">
        <v>363</v>
      </c>
      <c r="I797" s="71" t="s">
        <v>362</v>
      </c>
    </row>
    <row r="798" spans="1:9" ht="43.5" x14ac:dyDescent="0.35">
      <c r="A798" s="195">
        <v>6</v>
      </c>
      <c r="B798" s="195">
        <v>20</v>
      </c>
      <c r="C798" s="195" t="s">
        <v>1217</v>
      </c>
      <c r="D798" s="64">
        <v>55630</v>
      </c>
      <c r="E798" s="195" t="s">
        <v>1192</v>
      </c>
      <c r="F798" s="71" t="s">
        <v>1193</v>
      </c>
      <c r="G798" s="71" t="s">
        <v>1216</v>
      </c>
      <c r="H798" s="71" t="s">
        <v>1196</v>
      </c>
      <c r="I798" s="71" t="s">
        <v>362</v>
      </c>
    </row>
    <row r="799" spans="1:9" ht="43.5" x14ac:dyDescent="0.35">
      <c r="A799" s="195">
        <v>6</v>
      </c>
      <c r="B799" s="195">
        <v>21</v>
      </c>
      <c r="C799" s="195" t="s">
        <v>1218</v>
      </c>
      <c r="D799" s="64">
        <v>43445</v>
      </c>
      <c r="E799" s="195" t="s">
        <v>1192</v>
      </c>
      <c r="F799" s="71" t="s">
        <v>1193</v>
      </c>
      <c r="G799" s="71" t="s">
        <v>1216</v>
      </c>
      <c r="H799" s="71" t="s">
        <v>1196</v>
      </c>
      <c r="I799" s="71" t="s">
        <v>1057</v>
      </c>
    </row>
    <row r="800" spans="1:9" ht="43.5" x14ac:dyDescent="0.35">
      <c r="A800" s="195">
        <v>6</v>
      </c>
      <c r="B800" s="195">
        <v>22</v>
      </c>
      <c r="C800" s="195" t="s">
        <v>1219</v>
      </c>
      <c r="D800" s="64">
        <v>9310</v>
      </c>
      <c r="E800" s="195" t="s">
        <v>1192</v>
      </c>
      <c r="F800" s="71" t="s">
        <v>1193</v>
      </c>
      <c r="G800" s="71" t="s">
        <v>1216</v>
      </c>
      <c r="H800" s="71" t="s">
        <v>1196</v>
      </c>
      <c r="I800" s="71" t="s">
        <v>1082</v>
      </c>
    </row>
    <row r="801" spans="1:9" ht="58" x14ac:dyDescent="0.35">
      <c r="A801" s="195">
        <v>6</v>
      </c>
      <c r="B801" s="195">
        <v>23</v>
      </c>
      <c r="C801" s="195" t="s">
        <v>1220</v>
      </c>
      <c r="D801" s="64">
        <v>2875</v>
      </c>
      <c r="E801" s="195" t="s">
        <v>1192</v>
      </c>
      <c r="F801" s="71" t="s">
        <v>1193</v>
      </c>
      <c r="G801" s="71" t="s">
        <v>1216</v>
      </c>
      <c r="H801" s="71" t="s">
        <v>1196</v>
      </c>
      <c r="I801" s="71" t="s">
        <v>4175</v>
      </c>
    </row>
    <row r="802" spans="1:9" ht="43.5" x14ac:dyDescent="0.35">
      <c r="A802" s="195">
        <v>6</v>
      </c>
      <c r="B802" s="195">
        <v>24</v>
      </c>
      <c r="C802" s="195" t="s">
        <v>1221</v>
      </c>
      <c r="D802" s="64">
        <v>27115</v>
      </c>
      <c r="E802" s="195" t="s">
        <v>1192</v>
      </c>
      <c r="F802" s="71" t="s">
        <v>1193</v>
      </c>
      <c r="G802" s="71" t="s">
        <v>1216</v>
      </c>
      <c r="H802" s="71" t="s">
        <v>1201</v>
      </c>
      <c r="I802" s="71" t="s">
        <v>362</v>
      </c>
    </row>
    <row r="803" spans="1:9" ht="43.5" x14ac:dyDescent="0.35">
      <c r="A803" s="195">
        <v>6</v>
      </c>
      <c r="B803" s="195">
        <v>25</v>
      </c>
      <c r="C803" s="195" t="s">
        <v>1222</v>
      </c>
      <c r="D803" s="64">
        <v>18340</v>
      </c>
      <c r="E803" s="195" t="s">
        <v>1192</v>
      </c>
      <c r="F803" s="71" t="s">
        <v>1193</v>
      </c>
      <c r="G803" s="71" t="s">
        <v>1216</v>
      </c>
      <c r="H803" s="71" t="s">
        <v>1201</v>
      </c>
      <c r="I803" s="71" t="s">
        <v>1057</v>
      </c>
    </row>
    <row r="804" spans="1:9" ht="43.5" x14ac:dyDescent="0.35">
      <c r="A804" s="195">
        <v>6</v>
      </c>
      <c r="B804" s="195">
        <v>26</v>
      </c>
      <c r="C804" s="195" t="s">
        <v>1223</v>
      </c>
      <c r="D804" s="64">
        <v>8775</v>
      </c>
      <c r="E804" s="195" t="s">
        <v>1192</v>
      </c>
      <c r="F804" s="71" t="s">
        <v>1193</v>
      </c>
      <c r="G804" s="71" t="s">
        <v>1216</v>
      </c>
      <c r="H804" s="71" t="s">
        <v>1201</v>
      </c>
      <c r="I804" s="71" t="s">
        <v>1082</v>
      </c>
    </row>
    <row r="805" spans="1:9" ht="58" x14ac:dyDescent="0.35">
      <c r="A805" s="195">
        <v>6</v>
      </c>
      <c r="B805" s="195">
        <v>27</v>
      </c>
      <c r="C805" s="195" t="s">
        <v>1224</v>
      </c>
      <c r="D805" s="195">
        <v>0</v>
      </c>
      <c r="E805" s="195" t="s">
        <v>1192</v>
      </c>
      <c r="F805" s="71" t="s">
        <v>1193</v>
      </c>
      <c r="G805" s="71" t="s">
        <v>1216</v>
      </c>
      <c r="H805" s="71" t="s">
        <v>1201</v>
      </c>
      <c r="I805" s="71" t="s">
        <v>4175</v>
      </c>
    </row>
    <row r="806" spans="1:9" ht="43.5" x14ac:dyDescent="0.35">
      <c r="A806" s="195">
        <v>6</v>
      </c>
      <c r="B806" s="195">
        <v>28</v>
      </c>
      <c r="C806" s="195" t="s">
        <v>1225</v>
      </c>
      <c r="D806" s="64">
        <v>23455</v>
      </c>
      <c r="E806" s="195" t="s">
        <v>1192</v>
      </c>
      <c r="F806" s="71" t="s">
        <v>1193</v>
      </c>
      <c r="G806" s="71" t="s">
        <v>1216</v>
      </c>
      <c r="H806" s="71" t="s">
        <v>1206</v>
      </c>
      <c r="I806" s="71" t="s">
        <v>362</v>
      </c>
    </row>
    <row r="807" spans="1:9" ht="43.5" x14ac:dyDescent="0.35">
      <c r="A807" s="195">
        <v>6</v>
      </c>
      <c r="B807" s="195">
        <v>29</v>
      </c>
      <c r="C807" s="195" t="s">
        <v>1226</v>
      </c>
      <c r="D807" s="64">
        <v>9905</v>
      </c>
      <c r="E807" s="195" t="s">
        <v>1192</v>
      </c>
      <c r="F807" s="71" t="s">
        <v>1193</v>
      </c>
      <c r="G807" s="71" t="s">
        <v>1216</v>
      </c>
      <c r="H807" s="71" t="s">
        <v>1206</v>
      </c>
      <c r="I807" s="71" t="s">
        <v>1057</v>
      </c>
    </row>
    <row r="808" spans="1:9" ht="43.5" x14ac:dyDescent="0.35">
      <c r="A808" s="195">
        <v>6</v>
      </c>
      <c r="B808" s="195">
        <v>30</v>
      </c>
      <c r="C808" s="195" t="s">
        <v>1227</v>
      </c>
      <c r="D808" s="64">
        <v>13550</v>
      </c>
      <c r="E808" s="195" t="s">
        <v>1192</v>
      </c>
      <c r="F808" s="71" t="s">
        <v>1193</v>
      </c>
      <c r="G808" s="71" t="s">
        <v>1216</v>
      </c>
      <c r="H808" s="71" t="s">
        <v>1206</v>
      </c>
      <c r="I808" s="71" t="s">
        <v>1082</v>
      </c>
    </row>
    <row r="809" spans="1:9" ht="58" x14ac:dyDescent="0.35">
      <c r="A809" s="195">
        <v>6</v>
      </c>
      <c r="B809" s="195">
        <v>31</v>
      </c>
      <c r="C809" s="195" t="s">
        <v>1228</v>
      </c>
      <c r="D809" s="195">
        <v>0</v>
      </c>
      <c r="E809" s="195" t="s">
        <v>1192</v>
      </c>
      <c r="F809" s="71" t="s">
        <v>1193</v>
      </c>
      <c r="G809" s="71" t="s">
        <v>1216</v>
      </c>
      <c r="H809" s="71" t="s">
        <v>1206</v>
      </c>
      <c r="I809" s="71" t="s">
        <v>4175</v>
      </c>
    </row>
    <row r="810" spans="1:9" ht="43.5" x14ac:dyDescent="0.35">
      <c r="A810" s="195">
        <v>6</v>
      </c>
      <c r="B810" s="195">
        <v>32</v>
      </c>
      <c r="C810" s="195" t="s">
        <v>1229</v>
      </c>
      <c r="D810" s="64">
        <v>33790</v>
      </c>
      <c r="E810" s="195" t="s">
        <v>1192</v>
      </c>
      <c r="F810" s="71" t="s">
        <v>1193</v>
      </c>
      <c r="G810" s="71" t="s">
        <v>1216</v>
      </c>
      <c r="H810" s="71" t="s">
        <v>1211</v>
      </c>
      <c r="I810" s="71" t="s">
        <v>362</v>
      </c>
    </row>
    <row r="811" spans="1:9" ht="43.5" x14ac:dyDescent="0.35">
      <c r="A811" s="195">
        <v>6</v>
      </c>
      <c r="B811" s="195">
        <v>33</v>
      </c>
      <c r="C811" s="195" t="s">
        <v>1230</v>
      </c>
      <c r="D811" s="64">
        <v>5065</v>
      </c>
      <c r="E811" s="195" t="s">
        <v>1192</v>
      </c>
      <c r="F811" s="71" t="s">
        <v>1193</v>
      </c>
      <c r="G811" s="71" t="s">
        <v>1216</v>
      </c>
      <c r="H811" s="71" t="s">
        <v>1211</v>
      </c>
      <c r="I811" s="71" t="s">
        <v>1057</v>
      </c>
    </row>
    <row r="812" spans="1:9" ht="43.5" x14ac:dyDescent="0.35">
      <c r="A812" s="195">
        <v>6</v>
      </c>
      <c r="B812" s="195">
        <v>34</v>
      </c>
      <c r="C812" s="195" t="s">
        <v>1231</v>
      </c>
      <c r="D812" s="64">
        <v>28725</v>
      </c>
      <c r="E812" s="195" t="s">
        <v>1192</v>
      </c>
      <c r="F812" s="71" t="s">
        <v>1193</v>
      </c>
      <c r="G812" s="71" t="s">
        <v>1216</v>
      </c>
      <c r="H812" s="71" t="s">
        <v>1211</v>
      </c>
      <c r="I812" s="71" t="s">
        <v>1082</v>
      </c>
    </row>
    <row r="813" spans="1:9" ht="58" x14ac:dyDescent="0.35">
      <c r="A813" s="195">
        <v>6</v>
      </c>
      <c r="B813" s="195">
        <v>35</v>
      </c>
      <c r="C813" s="195" t="s">
        <v>1232</v>
      </c>
      <c r="D813" s="195">
        <v>0</v>
      </c>
      <c r="E813" s="195" t="s">
        <v>1192</v>
      </c>
      <c r="F813" s="71" t="s">
        <v>1193</v>
      </c>
      <c r="G813" s="71" t="s">
        <v>1216</v>
      </c>
      <c r="H813" s="71" t="s">
        <v>1211</v>
      </c>
      <c r="I813" s="71" t="s">
        <v>4175</v>
      </c>
    </row>
    <row r="814" spans="1:9" ht="29" x14ac:dyDescent="0.35">
      <c r="A814" s="195">
        <v>6</v>
      </c>
      <c r="B814" s="195">
        <v>36</v>
      </c>
      <c r="C814" s="195" t="s">
        <v>1233</v>
      </c>
      <c r="D814" s="64">
        <v>80195</v>
      </c>
      <c r="E814" s="195" t="s">
        <v>1192</v>
      </c>
      <c r="F814" s="71" t="s">
        <v>1193</v>
      </c>
      <c r="G814" s="71" t="s">
        <v>1234</v>
      </c>
      <c r="H814" s="71" t="s">
        <v>363</v>
      </c>
      <c r="I814" s="71" t="s">
        <v>362</v>
      </c>
    </row>
    <row r="815" spans="1:9" ht="43.5" x14ac:dyDescent="0.35">
      <c r="A815" s="195">
        <v>6</v>
      </c>
      <c r="B815" s="195">
        <v>37</v>
      </c>
      <c r="C815" s="195" t="s">
        <v>1235</v>
      </c>
      <c r="D815" s="64">
        <v>30985</v>
      </c>
      <c r="E815" s="195" t="s">
        <v>1192</v>
      </c>
      <c r="F815" s="71" t="s">
        <v>1193</v>
      </c>
      <c r="G815" s="71" t="s">
        <v>1234</v>
      </c>
      <c r="H815" s="71" t="s">
        <v>1196</v>
      </c>
      <c r="I815" s="71" t="s">
        <v>362</v>
      </c>
    </row>
    <row r="816" spans="1:9" ht="43.5" x14ac:dyDescent="0.35">
      <c r="A816" s="195">
        <v>6</v>
      </c>
      <c r="B816" s="195">
        <v>38</v>
      </c>
      <c r="C816" s="195" t="s">
        <v>1236</v>
      </c>
      <c r="D816" s="64">
        <v>24390</v>
      </c>
      <c r="E816" s="195" t="s">
        <v>1192</v>
      </c>
      <c r="F816" s="71" t="s">
        <v>1193</v>
      </c>
      <c r="G816" s="71" t="s">
        <v>1234</v>
      </c>
      <c r="H816" s="71" t="s">
        <v>1196</v>
      </c>
      <c r="I816" s="71" t="s">
        <v>1057</v>
      </c>
    </row>
    <row r="817" spans="1:9" ht="43.5" x14ac:dyDescent="0.35">
      <c r="A817" s="195">
        <v>6</v>
      </c>
      <c r="B817" s="195">
        <v>39</v>
      </c>
      <c r="C817" s="195" t="s">
        <v>1237</v>
      </c>
      <c r="D817" s="64">
        <v>4790</v>
      </c>
      <c r="E817" s="195" t="s">
        <v>1192</v>
      </c>
      <c r="F817" s="71" t="s">
        <v>1193</v>
      </c>
      <c r="G817" s="71" t="s">
        <v>1234</v>
      </c>
      <c r="H817" s="71" t="s">
        <v>1196</v>
      </c>
      <c r="I817" s="71" t="s">
        <v>1082</v>
      </c>
    </row>
    <row r="818" spans="1:9" ht="58" x14ac:dyDescent="0.35">
      <c r="A818" s="195">
        <v>6</v>
      </c>
      <c r="B818" s="195">
        <v>40</v>
      </c>
      <c r="C818" s="195" t="s">
        <v>1238</v>
      </c>
      <c r="D818" s="64">
        <v>1805</v>
      </c>
      <c r="E818" s="195" t="s">
        <v>1192</v>
      </c>
      <c r="F818" s="71" t="s">
        <v>1193</v>
      </c>
      <c r="G818" s="71" t="s">
        <v>1234</v>
      </c>
      <c r="H818" s="71" t="s">
        <v>1196</v>
      </c>
      <c r="I818" s="71" t="s">
        <v>4175</v>
      </c>
    </row>
    <row r="819" spans="1:9" ht="43.5" x14ac:dyDescent="0.35">
      <c r="A819" s="195">
        <v>6</v>
      </c>
      <c r="B819" s="195">
        <v>41</v>
      </c>
      <c r="C819" s="195" t="s">
        <v>1239</v>
      </c>
      <c r="D819" s="64">
        <v>16220</v>
      </c>
      <c r="E819" s="195" t="s">
        <v>1192</v>
      </c>
      <c r="F819" s="71" t="s">
        <v>1193</v>
      </c>
      <c r="G819" s="71" t="s">
        <v>1234</v>
      </c>
      <c r="H819" s="71" t="s">
        <v>1201</v>
      </c>
      <c r="I819" s="71" t="s">
        <v>362</v>
      </c>
    </row>
    <row r="820" spans="1:9" ht="43.5" x14ac:dyDescent="0.35">
      <c r="A820" s="195">
        <v>6</v>
      </c>
      <c r="B820" s="195">
        <v>42</v>
      </c>
      <c r="C820" s="195" t="s">
        <v>1240</v>
      </c>
      <c r="D820" s="64">
        <v>11640</v>
      </c>
      <c r="E820" s="195" t="s">
        <v>1192</v>
      </c>
      <c r="F820" s="71" t="s">
        <v>1193</v>
      </c>
      <c r="G820" s="71" t="s">
        <v>1234</v>
      </c>
      <c r="H820" s="71" t="s">
        <v>1201</v>
      </c>
      <c r="I820" s="71" t="s">
        <v>1057</v>
      </c>
    </row>
    <row r="821" spans="1:9" ht="43.5" x14ac:dyDescent="0.35">
      <c r="A821" s="195">
        <v>6</v>
      </c>
      <c r="B821" s="195">
        <v>43</v>
      </c>
      <c r="C821" s="195" t="s">
        <v>1241</v>
      </c>
      <c r="D821" s="64">
        <v>4580</v>
      </c>
      <c r="E821" s="195" t="s">
        <v>1192</v>
      </c>
      <c r="F821" s="71" t="s">
        <v>1193</v>
      </c>
      <c r="G821" s="71" t="s">
        <v>1234</v>
      </c>
      <c r="H821" s="71" t="s">
        <v>1201</v>
      </c>
      <c r="I821" s="71" t="s">
        <v>1082</v>
      </c>
    </row>
    <row r="822" spans="1:9" ht="58" x14ac:dyDescent="0.35">
      <c r="A822" s="195">
        <v>6</v>
      </c>
      <c r="B822" s="195">
        <v>44</v>
      </c>
      <c r="C822" s="195" t="s">
        <v>1242</v>
      </c>
      <c r="D822" s="195">
        <v>0</v>
      </c>
      <c r="E822" s="195" t="s">
        <v>1192</v>
      </c>
      <c r="F822" s="71" t="s">
        <v>1193</v>
      </c>
      <c r="G822" s="71" t="s">
        <v>1234</v>
      </c>
      <c r="H822" s="71" t="s">
        <v>1201</v>
      </c>
      <c r="I822" s="71" t="s">
        <v>4175</v>
      </c>
    </row>
    <row r="823" spans="1:9" ht="43.5" x14ac:dyDescent="0.35">
      <c r="A823" s="195">
        <v>6</v>
      </c>
      <c r="B823" s="195">
        <v>45</v>
      </c>
      <c r="C823" s="195" t="s">
        <v>1243</v>
      </c>
      <c r="D823" s="64">
        <v>12940</v>
      </c>
      <c r="E823" s="195" t="s">
        <v>1192</v>
      </c>
      <c r="F823" s="71" t="s">
        <v>1193</v>
      </c>
      <c r="G823" s="71" t="s">
        <v>1234</v>
      </c>
      <c r="H823" s="71" t="s">
        <v>1206</v>
      </c>
      <c r="I823" s="71" t="s">
        <v>362</v>
      </c>
    </row>
    <row r="824" spans="1:9" ht="43.5" x14ac:dyDescent="0.35">
      <c r="A824" s="195">
        <v>6</v>
      </c>
      <c r="B824" s="195">
        <v>46</v>
      </c>
      <c r="C824" s="195" t="s">
        <v>1244</v>
      </c>
      <c r="D824" s="64">
        <v>5805</v>
      </c>
      <c r="E824" s="195" t="s">
        <v>1192</v>
      </c>
      <c r="F824" s="71" t="s">
        <v>1193</v>
      </c>
      <c r="G824" s="71" t="s">
        <v>1234</v>
      </c>
      <c r="H824" s="71" t="s">
        <v>1206</v>
      </c>
      <c r="I824" s="71" t="s">
        <v>1057</v>
      </c>
    </row>
    <row r="825" spans="1:9" ht="43.5" x14ac:dyDescent="0.35">
      <c r="A825" s="195">
        <v>6</v>
      </c>
      <c r="B825" s="195">
        <v>47</v>
      </c>
      <c r="C825" s="195" t="s">
        <v>1245</v>
      </c>
      <c r="D825" s="64">
        <v>7135</v>
      </c>
      <c r="E825" s="195" t="s">
        <v>1192</v>
      </c>
      <c r="F825" s="71" t="s">
        <v>1193</v>
      </c>
      <c r="G825" s="71" t="s">
        <v>1234</v>
      </c>
      <c r="H825" s="71" t="s">
        <v>1206</v>
      </c>
      <c r="I825" s="71" t="s">
        <v>1082</v>
      </c>
    </row>
    <row r="826" spans="1:9" ht="58" x14ac:dyDescent="0.35">
      <c r="A826" s="195">
        <v>6</v>
      </c>
      <c r="B826" s="195">
        <v>48</v>
      </c>
      <c r="C826" s="195" t="s">
        <v>1246</v>
      </c>
      <c r="D826" s="195">
        <v>0</v>
      </c>
      <c r="E826" s="195" t="s">
        <v>1192</v>
      </c>
      <c r="F826" s="71" t="s">
        <v>1193</v>
      </c>
      <c r="G826" s="71" t="s">
        <v>1234</v>
      </c>
      <c r="H826" s="71" t="s">
        <v>1206</v>
      </c>
      <c r="I826" s="71" t="s">
        <v>4175</v>
      </c>
    </row>
    <row r="827" spans="1:9" ht="43.5" x14ac:dyDescent="0.35">
      <c r="A827" s="195">
        <v>6</v>
      </c>
      <c r="B827" s="195">
        <v>49</v>
      </c>
      <c r="C827" s="195" t="s">
        <v>1247</v>
      </c>
      <c r="D827" s="64">
        <v>20045</v>
      </c>
      <c r="E827" s="195" t="s">
        <v>1192</v>
      </c>
      <c r="F827" s="71" t="s">
        <v>1193</v>
      </c>
      <c r="G827" s="71" t="s">
        <v>1234</v>
      </c>
      <c r="H827" s="71" t="s">
        <v>1211</v>
      </c>
      <c r="I827" s="71" t="s">
        <v>362</v>
      </c>
    </row>
    <row r="828" spans="1:9" ht="43.5" x14ac:dyDescent="0.35">
      <c r="A828" s="195">
        <v>6</v>
      </c>
      <c r="B828" s="195">
        <v>50</v>
      </c>
      <c r="C828" s="195" t="s">
        <v>1248</v>
      </c>
      <c r="D828" s="64">
        <v>3085</v>
      </c>
      <c r="E828" s="195" t="s">
        <v>1192</v>
      </c>
      <c r="F828" s="71" t="s">
        <v>1193</v>
      </c>
      <c r="G828" s="71" t="s">
        <v>1234</v>
      </c>
      <c r="H828" s="71" t="s">
        <v>1211</v>
      </c>
      <c r="I828" s="71" t="s">
        <v>1057</v>
      </c>
    </row>
    <row r="829" spans="1:9" ht="43.5" x14ac:dyDescent="0.35">
      <c r="A829" s="195">
        <v>6</v>
      </c>
      <c r="B829" s="195">
        <v>51</v>
      </c>
      <c r="C829" s="195" t="s">
        <v>1249</v>
      </c>
      <c r="D829" s="64">
        <v>16960</v>
      </c>
      <c r="E829" s="195" t="s">
        <v>1192</v>
      </c>
      <c r="F829" s="71" t="s">
        <v>1193</v>
      </c>
      <c r="G829" s="71" t="s">
        <v>1234</v>
      </c>
      <c r="H829" s="71" t="s">
        <v>1211</v>
      </c>
      <c r="I829" s="71" t="s">
        <v>1082</v>
      </c>
    </row>
    <row r="830" spans="1:9" ht="58" x14ac:dyDescent="0.35">
      <c r="A830" s="195">
        <v>6</v>
      </c>
      <c r="B830" s="195">
        <v>52</v>
      </c>
      <c r="C830" s="195" t="s">
        <v>1250</v>
      </c>
      <c r="D830" s="195">
        <v>0</v>
      </c>
      <c r="E830" s="195" t="s">
        <v>1192</v>
      </c>
      <c r="F830" s="71" t="s">
        <v>1193</v>
      </c>
      <c r="G830" s="71" t="s">
        <v>1234</v>
      </c>
      <c r="H830" s="71" t="s">
        <v>1211</v>
      </c>
      <c r="I830" s="71" t="s">
        <v>4175</v>
      </c>
    </row>
    <row r="831" spans="1:9" ht="43.5" x14ac:dyDescent="0.35">
      <c r="A831" s="195">
        <v>6</v>
      </c>
      <c r="B831" s="195">
        <v>53</v>
      </c>
      <c r="C831" s="195" t="s">
        <v>1251</v>
      </c>
      <c r="D831" s="64">
        <v>103670</v>
      </c>
      <c r="E831" s="195" t="s">
        <v>1192</v>
      </c>
      <c r="F831" s="71" t="s">
        <v>1193</v>
      </c>
      <c r="G831" s="71" t="s">
        <v>1252</v>
      </c>
      <c r="H831" s="71" t="s">
        <v>363</v>
      </c>
      <c r="I831" s="71" t="s">
        <v>362</v>
      </c>
    </row>
    <row r="832" spans="1:9" ht="43.5" x14ac:dyDescent="0.35">
      <c r="A832" s="195">
        <v>6</v>
      </c>
      <c r="B832" s="195">
        <v>54</v>
      </c>
      <c r="C832" s="195" t="s">
        <v>1253</v>
      </c>
      <c r="D832" s="64">
        <v>39575</v>
      </c>
      <c r="E832" s="195" t="s">
        <v>1192</v>
      </c>
      <c r="F832" s="71" t="s">
        <v>1193</v>
      </c>
      <c r="G832" s="71" t="s">
        <v>1252</v>
      </c>
      <c r="H832" s="71" t="s">
        <v>1196</v>
      </c>
      <c r="I832" s="71" t="s">
        <v>362</v>
      </c>
    </row>
    <row r="833" spans="1:9" ht="43.5" x14ac:dyDescent="0.35">
      <c r="A833" s="195">
        <v>6</v>
      </c>
      <c r="B833" s="195">
        <v>55</v>
      </c>
      <c r="C833" s="195" t="s">
        <v>1254</v>
      </c>
      <c r="D833" s="64">
        <v>31125</v>
      </c>
      <c r="E833" s="195" t="s">
        <v>1192</v>
      </c>
      <c r="F833" s="71" t="s">
        <v>1193</v>
      </c>
      <c r="G833" s="71" t="s">
        <v>1252</v>
      </c>
      <c r="H833" s="71" t="s">
        <v>1196</v>
      </c>
      <c r="I833" s="71" t="s">
        <v>1057</v>
      </c>
    </row>
    <row r="834" spans="1:9" ht="43.5" x14ac:dyDescent="0.35">
      <c r="A834" s="195">
        <v>6</v>
      </c>
      <c r="B834" s="195">
        <v>56</v>
      </c>
      <c r="C834" s="195" t="s">
        <v>1255</v>
      </c>
      <c r="D834" s="64">
        <v>6440</v>
      </c>
      <c r="E834" s="195" t="s">
        <v>1192</v>
      </c>
      <c r="F834" s="71" t="s">
        <v>1193</v>
      </c>
      <c r="G834" s="71" t="s">
        <v>1252</v>
      </c>
      <c r="H834" s="71" t="s">
        <v>1196</v>
      </c>
      <c r="I834" s="71" t="s">
        <v>1082</v>
      </c>
    </row>
    <row r="835" spans="1:9" ht="58" x14ac:dyDescent="0.35">
      <c r="A835" s="195">
        <v>6</v>
      </c>
      <c r="B835" s="195">
        <v>57</v>
      </c>
      <c r="C835" s="195" t="s">
        <v>1256</v>
      </c>
      <c r="D835" s="64">
        <v>2015</v>
      </c>
      <c r="E835" s="195" t="s">
        <v>1192</v>
      </c>
      <c r="F835" s="71" t="s">
        <v>1193</v>
      </c>
      <c r="G835" s="71" t="s">
        <v>1252</v>
      </c>
      <c r="H835" s="71" t="s">
        <v>1196</v>
      </c>
      <c r="I835" s="71" t="s">
        <v>4175</v>
      </c>
    </row>
    <row r="836" spans="1:9" ht="43.5" x14ac:dyDescent="0.35">
      <c r="A836" s="195">
        <v>6</v>
      </c>
      <c r="B836" s="195">
        <v>58</v>
      </c>
      <c r="C836" s="195" t="s">
        <v>1257</v>
      </c>
      <c r="D836" s="64">
        <v>20535</v>
      </c>
      <c r="E836" s="195" t="s">
        <v>1192</v>
      </c>
      <c r="F836" s="71" t="s">
        <v>1193</v>
      </c>
      <c r="G836" s="71" t="s">
        <v>1252</v>
      </c>
      <c r="H836" s="71" t="s">
        <v>1201</v>
      </c>
      <c r="I836" s="71" t="s">
        <v>362</v>
      </c>
    </row>
    <row r="837" spans="1:9" ht="43.5" x14ac:dyDescent="0.35">
      <c r="A837" s="195">
        <v>6</v>
      </c>
      <c r="B837" s="195">
        <v>59</v>
      </c>
      <c r="C837" s="195" t="s">
        <v>1258</v>
      </c>
      <c r="D837" s="64">
        <v>13675</v>
      </c>
      <c r="E837" s="195" t="s">
        <v>1192</v>
      </c>
      <c r="F837" s="71" t="s">
        <v>1193</v>
      </c>
      <c r="G837" s="71" t="s">
        <v>1252</v>
      </c>
      <c r="H837" s="71" t="s">
        <v>1201</v>
      </c>
      <c r="I837" s="71" t="s">
        <v>1057</v>
      </c>
    </row>
    <row r="838" spans="1:9" ht="43.5" x14ac:dyDescent="0.35">
      <c r="A838" s="195">
        <v>6</v>
      </c>
      <c r="B838" s="195">
        <v>60</v>
      </c>
      <c r="C838" s="195" t="s">
        <v>1259</v>
      </c>
      <c r="D838" s="64">
        <v>6860</v>
      </c>
      <c r="E838" s="195" t="s">
        <v>1192</v>
      </c>
      <c r="F838" s="71" t="s">
        <v>1193</v>
      </c>
      <c r="G838" s="71" t="s">
        <v>1252</v>
      </c>
      <c r="H838" s="71" t="s">
        <v>1201</v>
      </c>
      <c r="I838" s="71" t="s">
        <v>1082</v>
      </c>
    </row>
    <row r="839" spans="1:9" ht="58" x14ac:dyDescent="0.35">
      <c r="A839" s="195">
        <v>6</v>
      </c>
      <c r="B839" s="195">
        <v>61</v>
      </c>
      <c r="C839" s="195" t="s">
        <v>1260</v>
      </c>
      <c r="D839" s="195">
        <v>0</v>
      </c>
      <c r="E839" s="195" t="s">
        <v>1192</v>
      </c>
      <c r="F839" s="71" t="s">
        <v>1193</v>
      </c>
      <c r="G839" s="71" t="s">
        <v>1252</v>
      </c>
      <c r="H839" s="71" t="s">
        <v>1201</v>
      </c>
      <c r="I839" s="71" t="s">
        <v>4175</v>
      </c>
    </row>
    <row r="840" spans="1:9" ht="43.5" x14ac:dyDescent="0.35">
      <c r="A840" s="195">
        <v>6</v>
      </c>
      <c r="B840" s="195">
        <v>62</v>
      </c>
      <c r="C840" s="195" t="s">
        <v>1261</v>
      </c>
      <c r="D840" s="64">
        <v>17635</v>
      </c>
      <c r="E840" s="195" t="s">
        <v>1192</v>
      </c>
      <c r="F840" s="71" t="s">
        <v>1193</v>
      </c>
      <c r="G840" s="71" t="s">
        <v>1252</v>
      </c>
      <c r="H840" s="71" t="s">
        <v>1206</v>
      </c>
      <c r="I840" s="71" t="s">
        <v>362</v>
      </c>
    </row>
    <row r="841" spans="1:9" ht="43.5" x14ac:dyDescent="0.35">
      <c r="A841" s="195">
        <v>6</v>
      </c>
      <c r="B841" s="195">
        <v>63</v>
      </c>
      <c r="C841" s="195" t="s">
        <v>1262</v>
      </c>
      <c r="D841" s="64">
        <v>7580</v>
      </c>
      <c r="E841" s="195" t="s">
        <v>1192</v>
      </c>
      <c r="F841" s="71" t="s">
        <v>1193</v>
      </c>
      <c r="G841" s="71" t="s">
        <v>1252</v>
      </c>
      <c r="H841" s="71" t="s">
        <v>1206</v>
      </c>
      <c r="I841" s="71" t="s">
        <v>1057</v>
      </c>
    </row>
    <row r="842" spans="1:9" ht="43.5" x14ac:dyDescent="0.35">
      <c r="A842" s="195">
        <v>6</v>
      </c>
      <c r="B842" s="195">
        <v>64</v>
      </c>
      <c r="C842" s="195" t="s">
        <v>1263</v>
      </c>
      <c r="D842" s="64">
        <v>10055</v>
      </c>
      <c r="E842" s="195" t="s">
        <v>1192</v>
      </c>
      <c r="F842" s="71" t="s">
        <v>1193</v>
      </c>
      <c r="G842" s="71" t="s">
        <v>1252</v>
      </c>
      <c r="H842" s="71" t="s">
        <v>1206</v>
      </c>
      <c r="I842" s="71" t="s">
        <v>1082</v>
      </c>
    </row>
    <row r="843" spans="1:9" ht="58" x14ac:dyDescent="0.35">
      <c r="A843" s="195">
        <v>6</v>
      </c>
      <c r="B843" s="195">
        <v>65</v>
      </c>
      <c r="C843" s="195" t="s">
        <v>1264</v>
      </c>
      <c r="D843" s="195">
        <v>0</v>
      </c>
      <c r="E843" s="195" t="s">
        <v>1192</v>
      </c>
      <c r="F843" s="71" t="s">
        <v>1193</v>
      </c>
      <c r="G843" s="71" t="s">
        <v>1252</v>
      </c>
      <c r="H843" s="71" t="s">
        <v>1206</v>
      </c>
      <c r="I843" s="71" t="s">
        <v>4175</v>
      </c>
    </row>
    <row r="844" spans="1:9" ht="43.5" x14ac:dyDescent="0.35">
      <c r="A844" s="195">
        <v>6</v>
      </c>
      <c r="B844" s="195">
        <v>66</v>
      </c>
      <c r="C844" s="195" t="s">
        <v>1265</v>
      </c>
      <c r="D844" s="64">
        <v>25925</v>
      </c>
      <c r="E844" s="195" t="s">
        <v>1192</v>
      </c>
      <c r="F844" s="71" t="s">
        <v>1193</v>
      </c>
      <c r="G844" s="71" t="s">
        <v>1252</v>
      </c>
      <c r="H844" s="71" t="s">
        <v>1211</v>
      </c>
      <c r="I844" s="71" t="s">
        <v>362</v>
      </c>
    </row>
    <row r="845" spans="1:9" ht="43.5" x14ac:dyDescent="0.35">
      <c r="A845" s="195">
        <v>6</v>
      </c>
      <c r="B845" s="195">
        <v>67</v>
      </c>
      <c r="C845" s="195" t="s">
        <v>1266</v>
      </c>
      <c r="D845" s="64">
        <v>3855</v>
      </c>
      <c r="E845" s="195" t="s">
        <v>1192</v>
      </c>
      <c r="F845" s="71" t="s">
        <v>1193</v>
      </c>
      <c r="G845" s="71" t="s">
        <v>1252</v>
      </c>
      <c r="H845" s="71" t="s">
        <v>1211</v>
      </c>
      <c r="I845" s="71" t="s">
        <v>1057</v>
      </c>
    </row>
    <row r="846" spans="1:9" ht="43.5" x14ac:dyDescent="0.35">
      <c r="A846" s="195">
        <v>6</v>
      </c>
      <c r="B846" s="195">
        <v>68</v>
      </c>
      <c r="C846" s="195" t="s">
        <v>1267</v>
      </c>
      <c r="D846" s="64">
        <v>22075</v>
      </c>
      <c r="E846" s="195" t="s">
        <v>1192</v>
      </c>
      <c r="F846" s="71" t="s">
        <v>1193</v>
      </c>
      <c r="G846" s="71" t="s">
        <v>1252</v>
      </c>
      <c r="H846" s="71" t="s">
        <v>1211</v>
      </c>
      <c r="I846" s="71" t="s">
        <v>1082</v>
      </c>
    </row>
    <row r="847" spans="1:9" ht="58" x14ac:dyDescent="0.35">
      <c r="A847" s="195">
        <v>6</v>
      </c>
      <c r="B847" s="195">
        <v>69</v>
      </c>
      <c r="C847" s="195" t="s">
        <v>1268</v>
      </c>
      <c r="D847" s="195">
        <v>0</v>
      </c>
      <c r="E847" s="195" t="s">
        <v>1192</v>
      </c>
      <c r="F847" s="71" t="s">
        <v>1193</v>
      </c>
      <c r="G847" s="71" t="s">
        <v>1252</v>
      </c>
      <c r="H847" s="71" t="s">
        <v>1211</v>
      </c>
      <c r="I847" s="71" t="s">
        <v>4175</v>
      </c>
    </row>
    <row r="848" spans="1:9" ht="43.5" x14ac:dyDescent="0.35">
      <c r="A848" s="195">
        <v>6</v>
      </c>
      <c r="B848" s="195">
        <v>70</v>
      </c>
      <c r="C848" s="195" t="s">
        <v>1269</v>
      </c>
      <c r="D848" s="64">
        <v>825995</v>
      </c>
      <c r="E848" s="195" t="s">
        <v>1192</v>
      </c>
      <c r="F848" s="71" t="s">
        <v>1193</v>
      </c>
      <c r="G848" s="71" t="s">
        <v>1270</v>
      </c>
      <c r="H848" s="71" t="s">
        <v>363</v>
      </c>
      <c r="I848" s="71" t="s">
        <v>362</v>
      </c>
    </row>
    <row r="849" spans="1:9" ht="43.5" x14ac:dyDescent="0.35">
      <c r="A849" s="195">
        <v>6</v>
      </c>
      <c r="B849" s="195">
        <v>71</v>
      </c>
      <c r="C849" s="195" t="s">
        <v>1271</v>
      </c>
      <c r="D849" s="64">
        <v>159405</v>
      </c>
      <c r="E849" s="195" t="s">
        <v>1192</v>
      </c>
      <c r="F849" s="71" t="s">
        <v>1193</v>
      </c>
      <c r="G849" s="71" t="s">
        <v>1270</v>
      </c>
      <c r="H849" s="71" t="s">
        <v>1196</v>
      </c>
      <c r="I849" s="71" t="s">
        <v>362</v>
      </c>
    </row>
    <row r="850" spans="1:9" ht="43.5" x14ac:dyDescent="0.35">
      <c r="A850" s="195">
        <v>6</v>
      </c>
      <c r="B850" s="195">
        <v>72</v>
      </c>
      <c r="C850" s="195" t="s">
        <v>1272</v>
      </c>
      <c r="D850" s="64">
        <v>123730</v>
      </c>
      <c r="E850" s="195" t="s">
        <v>1192</v>
      </c>
      <c r="F850" s="71" t="s">
        <v>1193</v>
      </c>
      <c r="G850" s="71" t="s">
        <v>1270</v>
      </c>
      <c r="H850" s="71" t="s">
        <v>1196</v>
      </c>
      <c r="I850" s="71" t="s">
        <v>1057</v>
      </c>
    </row>
    <row r="851" spans="1:9" ht="43.5" x14ac:dyDescent="0.35">
      <c r="A851" s="195">
        <v>6</v>
      </c>
      <c r="B851" s="195">
        <v>73</v>
      </c>
      <c r="C851" s="195" t="s">
        <v>1273</v>
      </c>
      <c r="D851" s="64">
        <v>14520</v>
      </c>
      <c r="E851" s="195" t="s">
        <v>1192</v>
      </c>
      <c r="F851" s="71" t="s">
        <v>1193</v>
      </c>
      <c r="G851" s="71" t="s">
        <v>1270</v>
      </c>
      <c r="H851" s="71" t="s">
        <v>1196</v>
      </c>
      <c r="I851" s="71" t="s">
        <v>1082</v>
      </c>
    </row>
    <row r="852" spans="1:9" ht="58" x14ac:dyDescent="0.35">
      <c r="A852" s="195">
        <v>6</v>
      </c>
      <c r="B852" s="195">
        <v>74</v>
      </c>
      <c r="C852" s="195" t="s">
        <v>1274</v>
      </c>
      <c r="D852" s="64">
        <v>21155</v>
      </c>
      <c r="E852" s="195" t="s">
        <v>1192</v>
      </c>
      <c r="F852" s="71" t="s">
        <v>1193</v>
      </c>
      <c r="G852" s="71" t="s">
        <v>1270</v>
      </c>
      <c r="H852" s="71" t="s">
        <v>1196</v>
      </c>
      <c r="I852" s="71" t="s">
        <v>4175</v>
      </c>
    </row>
    <row r="853" spans="1:9" ht="43.5" x14ac:dyDescent="0.35">
      <c r="A853" s="195">
        <v>6</v>
      </c>
      <c r="B853" s="195">
        <v>75</v>
      </c>
      <c r="C853" s="195" t="s">
        <v>1275</v>
      </c>
      <c r="D853" s="64">
        <v>110565</v>
      </c>
      <c r="E853" s="195" t="s">
        <v>1192</v>
      </c>
      <c r="F853" s="71" t="s">
        <v>1193</v>
      </c>
      <c r="G853" s="71" t="s">
        <v>1270</v>
      </c>
      <c r="H853" s="71" t="s">
        <v>1201</v>
      </c>
      <c r="I853" s="71" t="s">
        <v>362</v>
      </c>
    </row>
    <row r="854" spans="1:9" ht="43.5" x14ac:dyDescent="0.35">
      <c r="A854" s="195">
        <v>6</v>
      </c>
      <c r="B854" s="195">
        <v>76</v>
      </c>
      <c r="C854" s="195" t="s">
        <v>1276</v>
      </c>
      <c r="D854" s="64">
        <v>85185</v>
      </c>
      <c r="E854" s="195" t="s">
        <v>1192</v>
      </c>
      <c r="F854" s="71" t="s">
        <v>1193</v>
      </c>
      <c r="G854" s="71" t="s">
        <v>1270</v>
      </c>
      <c r="H854" s="71" t="s">
        <v>1201</v>
      </c>
      <c r="I854" s="71" t="s">
        <v>1057</v>
      </c>
    </row>
    <row r="855" spans="1:9" ht="43.5" x14ac:dyDescent="0.35">
      <c r="A855" s="195">
        <v>6</v>
      </c>
      <c r="B855" s="195">
        <v>77</v>
      </c>
      <c r="C855" s="195" t="s">
        <v>1277</v>
      </c>
      <c r="D855" s="64">
        <v>25380</v>
      </c>
      <c r="E855" s="195" t="s">
        <v>1192</v>
      </c>
      <c r="F855" s="71" t="s">
        <v>1193</v>
      </c>
      <c r="G855" s="71" t="s">
        <v>1270</v>
      </c>
      <c r="H855" s="71" t="s">
        <v>1201</v>
      </c>
      <c r="I855" s="71" t="s">
        <v>1082</v>
      </c>
    </row>
    <row r="856" spans="1:9" ht="58" x14ac:dyDescent="0.35">
      <c r="A856" s="195">
        <v>6</v>
      </c>
      <c r="B856" s="195">
        <v>78</v>
      </c>
      <c r="C856" s="195" t="s">
        <v>1278</v>
      </c>
      <c r="D856" s="195">
        <v>0</v>
      </c>
      <c r="E856" s="195" t="s">
        <v>1192</v>
      </c>
      <c r="F856" s="71" t="s">
        <v>1193</v>
      </c>
      <c r="G856" s="71" t="s">
        <v>1270</v>
      </c>
      <c r="H856" s="71" t="s">
        <v>1201</v>
      </c>
      <c r="I856" s="71" t="s">
        <v>4175</v>
      </c>
    </row>
    <row r="857" spans="1:9" ht="43.5" x14ac:dyDescent="0.35">
      <c r="A857" s="195">
        <v>6</v>
      </c>
      <c r="B857" s="195">
        <v>79</v>
      </c>
      <c r="C857" s="195" t="s">
        <v>1279</v>
      </c>
      <c r="D857" s="64">
        <v>133775</v>
      </c>
      <c r="E857" s="195" t="s">
        <v>1192</v>
      </c>
      <c r="F857" s="71" t="s">
        <v>1193</v>
      </c>
      <c r="G857" s="71" t="s">
        <v>1270</v>
      </c>
      <c r="H857" s="71" t="s">
        <v>1206</v>
      </c>
      <c r="I857" s="71" t="s">
        <v>362</v>
      </c>
    </row>
    <row r="858" spans="1:9" ht="43.5" x14ac:dyDescent="0.35">
      <c r="A858" s="195">
        <v>6</v>
      </c>
      <c r="B858" s="195">
        <v>80</v>
      </c>
      <c r="C858" s="195" t="s">
        <v>1280</v>
      </c>
      <c r="D858" s="64">
        <v>61585</v>
      </c>
      <c r="E858" s="195" t="s">
        <v>1192</v>
      </c>
      <c r="F858" s="71" t="s">
        <v>1193</v>
      </c>
      <c r="G858" s="71" t="s">
        <v>1270</v>
      </c>
      <c r="H858" s="71" t="s">
        <v>1206</v>
      </c>
      <c r="I858" s="71" t="s">
        <v>1057</v>
      </c>
    </row>
    <row r="859" spans="1:9" ht="43.5" x14ac:dyDescent="0.35">
      <c r="A859" s="195">
        <v>6</v>
      </c>
      <c r="B859" s="195">
        <v>81</v>
      </c>
      <c r="C859" s="195" t="s">
        <v>1281</v>
      </c>
      <c r="D859" s="64">
        <v>72190</v>
      </c>
      <c r="E859" s="195" t="s">
        <v>1192</v>
      </c>
      <c r="F859" s="71" t="s">
        <v>1193</v>
      </c>
      <c r="G859" s="71" t="s">
        <v>1270</v>
      </c>
      <c r="H859" s="71" t="s">
        <v>1206</v>
      </c>
      <c r="I859" s="71" t="s">
        <v>1082</v>
      </c>
    </row>
    <row r="860" spans="1:9" ht="58" x14ac:dyDescent="0.35">
      <c r="A860" s="195">
        <v>6</v>
      </c>
      <c r="B860" s="195">
        <v>82</v>
      </c>
      <c r="C860" s="195" t="s">
        <v>1282</v>
      </c>
      <c r="D860" s="195">
        <v>0</v>
      </c>
      <c r="E860" s="195" t="s">
        <v>1192</v>
      </c>
      <c r="F860" s="71" t="s">
        <v>1193</v>
      </c>
      <c r="G860" s="71" t="s">
        <v>1270</v>
      </c>
      <c r="H860" s="71" t="s">
        <v>1206</v>
      </c>
      <c r="I860" s="71" t="s">
        <v>4175</v>
      </c>
    </row>
    <row r="861" spans="1:9" ht="43.5" x14ac:dyDescent="0.35">
      <c r="A861" s="195">
        <v>6</v>
      </c>
      <c r="B861" s="195">
        <v>83</v>
      </c>
      <c r="C861" s="195" t="s">
        <v>1283</v>
      </c>
      <c r="D861" s="64">
        <v>422250</v>
      </c>
      <c r="E861" s="195" t="s">
        <v>1192</v>
      </c>
      <c r="F861" s="71" t="s">
        <v>1193</v>
      </c>
      <c r="G861" s="71" t="s">
        <v>1270</v>
      </c>
      <c r="H861" s="71" t="s">
        <v>1211</v>
      </c>
      <c r="I861" s="71" t="s">
        <v>362</v>
      </c>
    </row>
    <row r="862" spans="1:9" ht="43.5" x14ac:dyDescent="0.35">
      <c r="A862" s="195">
        <v>6</v>
      </c>
      <c r="B862" s="195">
        <v>84</v>
      </c>
      <c r="C862" s="195" t="s">
        <v>1284</v>
      </c>
      <c r="D862" s="64">
        <v>60625</v>
      </c>
      <c r="E862" s="195" t="s">
        <v>1192</v>
      </c>
      <c r="F862" s="71" t="s">
        <v>1193</v>
      </c>
      <c r="G862" s="71" t="s">
        <v>1270</v>
      </c>
      <c r="H862" s="71" t="s">
        <v>1211</v>
      </c>
      <c r="I862" s="71" t="s">
        <v>1057</v>
      </c>
    </row>
    <row r="863" spans="1:9" ht="43.5" x14ac:dyDescent="0.35">
      <c r="A863" s="195">
        <v>6</v>
      </c>
      <c r="B863" s="195">
        <v>85</v>
      </c>
      <c r="C863" s="195" t="s">
        <v>1285</v>
      </c>
      <c r="D863" s="64">
        <v>361625</v>
      </c>
      <c r="E863" s="195" t="s">
        <v>1192</v>
      </c>
      <c r="F863" s="71" t="s">
        <v>1193</v>
      </c>
      <c r="G863" s="71" t="s">
        <v>1270</v>
      </c>
      <c r="H863" s="71" t="s">
        <v>1211</v>
      </c>
      <c r="I863" s="71" t="s">
        <v>1082</v>
      </c>
    </row>
    <row r="864" spans="1:9" ht="58" x14ac:dyDescent="0.35">
      <c r="A864" s="195">
        <v>6</v>
      </c>
      <c r="B864" s="195">
        <v>86</v>
      </c>
      <c r="C864" s="195" t="s">
        <v>1286</v>
      </c>
      <c r="D864" s="195">
        <v>0</v>
      </c>
      <c r="E864" s="195" t="s">
        <v>1192</v>
      </c>
      <c r="F864" s="71" t="s">
        <v>1193</v>
      </c>
      <c r="G864" s="71" t="s">
        <v>1270</v>
      </c>
      <c r="H864" s="71" t="s">
        <v>1211</v>
      </c>
      <c r="I864" s="71" t="s">
        <v>4175</v>
      </c>
    </row>
    <row r="865" spans="1:9" x14ac:dyDescent="0.35">
      <c r="A865" s="195">
        <v>6</v>
      </c>
      <c r="B865" s="195">
        <v>87</v>
      </c>
      <c r="C865" s="195" t="s">
        <v>1287</v>
      </c>
      <c r="D865" s="64">
        <v>582690</v>
      </c>
      <c r="E865" s="195" t="s">
        <v>1192</v>
      </c>
      <c r="F865" s="71" t="s">
        <v>508</v>
      </c>
      <c r="G865" s="71" t="s">
        <v>1190</v>
      </c>
      <c r="H865" s="71" t="s">
        <v>363</v>
      </c>
      <c r="I865" s="71" t="s">
        <v>362</v>
      </c>
    </row>
    <row r="866" spans="1:9" ht="43.5" x14ac:dyDescent="0.35">
      <c r="A866" s="195">
        <v>6</v>
      </c>
      <c r="B866" s="195">
        <v>88</v>
      </c>
      <c r="C866" s="195" t="s">
        <v>1288</v>
      </c>
      <c r="D866" s="64">
        <v>42905</v>
      </c>
      <c r="E866" s="195" t="s">
        <v>1192</v>
      </c>
      <c r="F866" s="71" t="s">
        <v>508</v>
      </c>
      <c r="G866" s="71" t="s">
        <v>1194</v>
      </c>
      <c r="H866" s="71" t="s">
        <v>363</v>
      </c>
      <c r="I866" s="71" t="s">
        <v>362</v>
      </c>
    </row>
    <row r="867" spans="1:9" ht="43.5" x14ac:dyDescent="0.35">
      <c r="A867" s="195">
        <v>6</v>
      </c>
      <c r="B867" s="195">
        <v>89</v>
      </c>
      <c r="C867" s="195" t="s">
        <v>1289</v>
      </c>
      <c r="D867" s="64">
        <v>22575</v>
      </c>
      <c r="E867" s="195" t="s">
        <v>1192</v>
      </c>
      <c r="F867" s="71" t="s">
        <v>508</v>
      </c>
      <c r="G867" s="71" t="s">
        <v>1194</v>
      </c>
      <c r="H867" s="71" t="s">
        <v>1196</v>
      </c>
      <c r="I867" s="71" t="s">
        <v>362</v>
      </c>
    </row>
    <row r="868" spans="1:9" ht="43.5" x14ac:dyDescent="0.35">
      <c r="A868" s="195">
        <v>6</v>
      </c>
      <c r="B868" s="195">
        <v>90</v>
      </c>
      <c r="C868" s="195" t="s">
        <v>1290</v>
      </c>
      <c r="D868" s="64">
        <v>17260</v>
      </c>
      <c r="E868" s="195" t="s">
        <v>1192</v>
      </c>
      <c r="F868" s="71" t="s">
        <v>508</v>
      </c>
      <c r="G868" s="71" t="s">
        <v>1194</v>
      </c>
      <c r="H868" s="71" t="s">
        <v>1196</v>
      </c>
      <c r="I868" s="71" t="s">
        <v>1057</v>
      </c>
    </row>
    <row r="869" spans="1:9" ht="43.5" x14ac:dyDescent="0.35">
      <c r="A869" s="195">
        <v>6</v>
      </c>
      <c r="B869" s="195">
        <v>91</v>
      </c>
      <c r="C869" s="195" t="s">
        <v>1291</v>
      </c>
      <c r="D869" s="64">
        <v>4160</v>
      </c>
      <c r="E869" s="195" t="s">
        <v>1192</v>
      </c>
      <c r="F869" s="71" t="s">
        <v>508</v>
      </c>
      <c r="G869" s="71" t="s">
        <v>1194</v>
      </c>
      <c r="H869" s="71" t="s">
        <v>1196</v>
      </c>
      <c r="I869" s="71" t="s">
        <v>1082</v>
      </c>
    </row>
    <row r="870" spans="1:9" ht="58" x14ac:dyDescent="0.35">
      <c r="A870" s="195">
        <v>6</v>
      </c>
      <c r="B870" s="195">
        <v>92</v>
      </c>
      <c r="C870" s="195" t="s">
        <v>1292</v>
      </c>
      <c r="D870" s="64">
        <v>1160</v>
      </c>
      <c r="E870" s="195" t="s">
        <v>1192</v>
      </c>
      <c r="F870" s="71" t="s">
        <v>508</v>
      </c>
      <c r="G870" s="71" t="s">
        <v>1194</v>
      </c>
      <c r="H870" s="71" t="s">
        <v>1196</v>
      </c>
      <c r="I870" s="71" t="s">
        <v>4175</v>
      </c>
    </row>
    <row r="871" spans="1:9" ht="43.5" x14ac:dyDescent="0.35">
      <c r="A871" s="195">
        <v>6</v>
      </c>
      <c r="B871" s="195">
        <v>93</v>
      </c>
      <c r="C871" s="195" t="s">
        <v>1293</v>
      </c>
      <c r="D871" s="64">
        <v>7985</v>
      </c>
      <c r="E871" s="195" t="s">
        <v>1192</v>
      </c>
      <c r="F871" s="71" t="s">
        <v>508</v>
      </c>
      <c r="G871" s="71" t="s">
        <v>1194</v>
      </c>
      <c r="H871" s="71" t="s">
        <v>1201</v>
      </c>
      <c r="I871" s="71" t="s">
        <v>362</v>
      </c>
    </row>
    <row r="872" spans="1:9" ht="43.5" x14ac:dyDescent="0.35">
      <c r="A872" s="195">
        <v>6</v>
      </c>
      <c r="B872" s="195">
        <v>94</v>
      </c>
      <c r="C872" s="195" t="s">
        <v>1294</v>
      </c>
      <c r="D872" s="64">
        <v>6140</v>
      </c>
      <c r="E872" s="195" t="s">
        <v>1192</v>
      </c>
      <c r="F872" s="71" t="s">
        <v>508</v>
      </c>
      <c r="G872" s="71" t="s">
        <v>1194</v>
      </c>
      <c r="H872" s="71" t="s">
        <v>1201</v>
      </c>
      <c r="I872" s="71" t="s">
        <v>1057</v>
      </c>
    </row>
    <row r="873" spans="1:9" ht="43.5" x14ac:dyDescent="0.35">
      <c r="A873" s="195">
        <v>6</v>
      </c>
      <c r="B873" s="195">
        <v>95</v>
      </c>
      <c r="C873" s="195" t="s">
        <v>1295</v>
      </c>
      <c r="D873" s="64">
        <v>1845</v>
      </c>
      <c r="E873" s="195" t="s">
        <v>1192</v>
      </c>
      <c r="F873" s="71" t="s">
        <v>508</v>
      </c>
      <c r="G873" s="71" t="s">
        <v>1194</v>
      </c>
      <c r="H873" s="71" t="s">
        <v>1201</v>
      </c>
      <c r="I873" s="71" t="s">
        <v>1082</v>
      </c>
    </row>
    <row r="874" spans="1:9" ht="58" x14ac:dyDescent="0.35">
      <c r="A874" s="195">
        <v>6</v>
      </c>
      <c r="B874" s="195">
        <v>96</v>
      </c>
      <c r="C874" s="195" t="s">
        <v>1296</v>
      </c>
      <c r="D874" s="195">
        <v>0</v>
      </c>
      <c r="E874" s="195" t="s">
        <v>1192</v>
      </c>
      <c r="F874" s="71" t="s">
        <v>508</v>
      </c>
      <c r="G874" s="71" t="s">
        <v>1194</v>
      </c>
      <c r="H874" s="71" t="s">
        <v>1201</v>
      </c>
      <c r="I874" s="71" t="s">
        <v>4175</v>
      </c>
    </row>
    <row r="875" spans="1:9" ht="43.5" x14ac:dyDescent="0.35">
      <c r="A875" s="195">
        <v>6</v>
      </c>
      <c r="B875" s="195">
        <v>97</v>
      </c>
      <c r="C875" s="195" t="s">
        <v>1297</v>
      </c>
      <c r="D875" s="64">
        <v>6205</v>
      </c>
      <c r="E875" s="195" t="s">
        <v>1192</v>
      </c>
      <c r="F875" s="71" t="s">
        <v>508</v>
      </c>
      <c r="G875" s="71" t="s">
        <v>1194</v>
      </c>
      <c r="H875" s="71" t="s">
        <v>1206</v>
      </c>
      <c r="I875" s="71" t="s">
        <v>362</v>
      </c>
    </row>
    <row r="876" spans="1:9" ht="43.5" x14ac:dyDescent="0.35">
      <c r="A876" s="195">
        <v>6</v>
      </c>
      <c r="B876" s="195">
        <v>98</v>
      </c>
      <c r="C876" s="195" t="s">
        <v>1298</v>
      </c>
      <c r="D876" s="64">
        <v>2455</v>
      </c>
      <c r="E876" s="195" t="s">
        <v>1192</v>
      </c>
      <c r="F876" s="71" t="s">
        <v>508</v>
      </c>
      <c r="G876" s="71" t="s">
        <v>1194</v>
      </c>
      <c r="H876" s="71" t="s">
        <v>1206</v>
      </c>
      <c r="I876" s="71" t="s">
        <v>1057</v>
      </c>
    </row>
    <row r="877" spans="1:9" ht="43.5" x14ac:dyDescent="0.35">
      <c r="A877" s="195">
        <v>6</v>
      </c>
      <c r="B877" s="195">
        <v>99</v>
      </c>
      <c r="C877" s="195" t="s">
        <v>1299</v>
      </c>
      <c r="D877" s="64">
        <v>3750</v>
      </c>
      <c r="E877" s="195" t="s">
        <v>1192</v>
      </c>
      <c r="F877" s="71" t="s">
        <v>508</v>
      </c>
      <c r="G877" s="71" t="s">
        <v>1194</v>
      </c>
      <c r="H877" s="71" t="s">
        <v>1206</v>
      </c>
      <c r="I877" s="71" t="s">
        <v>1082</v>
      </c>
    </row>
    <row r="878" spans="1:9" ht="58" x14ac:dyDescent="0.35">
      <c r="A878" s="195">
        <v>6</v>
      </c>
      <c r="B878" s="195">
        <v>100</v>
      </c>
      <c r="C878" s="195" t="s">
        <v>1300</v>
      </c>
      <c r="D878" s="195">
        <v>0</v>
      </c>
      <c r="E878" s="195" t="s">
        <v>1192</v>
      </c>
      <c r="F878" s="71" t="s">
        <v>508</v>
      </c>
      <c r="G878" s="71" t="s">
        <v>1194</v>
      </c>
      <c r="H878" s="71" t="s">
        <v>1206</v>
      </c>
      <c r="I878" s="71" t="s">
        <v>4175</v>
      </c>
    </row>
    <row r="879" spans="1:9" ht="43.5" x14ac:dyDescent="0.35">
      <c r="A879" s="195">
        <v>6</v>
      </c>
      <c r="B879" s="195">
        <v>101</v>
      </c>
      <c r="C879" s="195" t="s">
        <v>1301</v>
      </c>
      <c r="D879" s="64">
        <v>6140</v>
      </c>
      <c r="E879" s="195" t="s">
        <v>1192</v>
      </c>
      <c r="F879" s="71" t="s">
        <v>508</v>
      </c>
      <c r="G879" s="71" t="s">
        <v>1194</v>
      </c>
      <c r="H879" s="71" t="s">
        <v>1211</v>
      </c>
      <c r="I879" s="71" t="s">
        <v>362</v>
      </c>
    </row>
    <row r="880" spans="1:9" ht="43.5" x14ac:dyDescent="0.35">
      <c r="A880" s="195">
        <v>6</v>
      </c>
      <c r="B880" s="195">
        <v>102</v>
      </c>
      <c r="C880" s="195" t="s">
        <v>1302</v>
      </c>
      <c r="D880" s="64">
        <v>1020</v>
      </c>
      <c r="E880" s="195" t="s">
        <v>1192</v>
      </c>
      <c r="F880" s="71" t="s">
        <v>508</v>
      </c>
      <c r="G880" s="71" t="s">
        <v>1194</v>
      </c>
      <c r="H880" s="71" t="s">
        <v>1211</v>
      </c>
      <c r="I880" s="71" t="s">
        <v>1057</v>
      </c>
    </row>
    <row r="881" spans="1:9" ht="43.5" x14ac:dyDescent="0.35">
      <c r="A881" s="195">
        <v>6</v>
      </c>
      <c r="B881" s="195">
        <v>103</v>
      </c>
      <c r="C881" s="195" t="s">
        <v>1303</v>
      </c>
      <c r="D881" s="64">
        <v>5120</v>
      </c>
      <c r="E881" s="195" t="s">
        <v>1192</v>
      </c>
      <c r="F881" s="71" t="s">
        <v>508</v>
      </c>
      <c r="G881" s="71" t="s">
        <v>1194</v>
      </c>
      <c r="H881" s="71" t="s">
        <v>1211</v>
      </c>
      <c r="I881" s="71" t="s">
        <v>1082</v>
      </c>
    </row>
    <row r="882" spans="1:9" ht="58" x14ac:dyDescent="0.35">
      <c r="A882" s="195">
        <v>6</v>
      </c>
      <c r="B882" s="195">
        <v>104</v>
      </c>
      <c r="C882" s="195" t="s">
        <v>1304</v>
      </c>
      <c r="D882" s="195">
        <v>0</v>
      </c>
      <c r="E882" s="195" t="s">
        <v>1192</v>
      </c>
      <c r="F882" s="71" t="s">
        <v>508</v>
      </c>
      <c r="G882" s="71" t="s">
        <v>1194</v>
      </c>
      <c r="H882" s="71" t="s">
        <v>1211</v>
      </c>
      <c r="I882" s="71" t="s">
        <v>4175</v>
      </c>
    </row>
    <row r="883" spans="1:9" ht="43.5" x14ac:dyDescent="0.35">
      <c r="A883" s="195">
        <v>6</v>
      </c>
      <c r="B883" s="195">
        <v>105</v>
      </c>
      <c r="C883" s="195" t="s">
        <v>1305</v>
      </c>
      <c r="D883" s="64">
        <v>74645</v>
      </c>
      <c r="E883" s="195" t="s">
        <v>1192</v>
      </c>
      <c r="F883" s="71" t="s">
        <v>508</v>
      </c>
      <c r="G883" s="71" t="s">
        <v>1216</v>
      </c>
      <c r="H883" s="71" t="s">
        <v>363</v>
      </c>
      <c r="I883" s="71" t="s">
        <v>362</v>
      </c>
    </row>
    <row r="884" spans="1:9" ht="43.5" x14ac:dyDescent="0.35">
      <c r="A884" s="195">
        <v>6</v>
      </c>
      <c r="B884" s="195">
        <v>106</v>
      </c>
      <c r="C884" s="195" t="s">
        <v>1306</v>
      </c>
      <c r="D884" s="64">
        <v>43215</v>
      </c>
      <c r="E884" s="195" t="s">
        <v>1192</v>
      </c>
      <c r="F884" s="71" t="s">
        <v>508</v>
      </c>
      <c r="G884" s="71" t="s">
        <v>1216</v>
      </c>
      <c r="H884" s="71" t="s">
        <v>1196</v>
      </c>
      <c r="I884" s="71" t="s">
        <v>362</v>
      </c>
    </row>
    <row r="885" spans="1:9" ht="43.5" x14ac:dyDescent="0.35">
      <c r="A885" s="195">
        <v>6</v>
      </c>
      <c r="B885" s="195">
        <v>107</v>
      </c>
      <c r="C885" s="195" t="s">
        <v>1307</v>
      </c>
      <c r="D885" s="64">
        <v>33305</v>
      </c>
      <c r="E885" s="195" t="s">
        <v>1192</v>
      </c>
      <c r="F885" s="71" t="s">
        <v>508</v>
      </c>
      <c r="G885" s="71" t="s">
        <v>1216</v>
      </c>
      <c r="H885" s="71" t="s">
        <v>1196</v>
      </c>
      <c r="I885" s="71" t="s">
        <v>1057</v>
      </c>
    </row>
    <row r="886" spans="1:9" ht="43.5" x14ac:dyDescent="0.35">
      <c r="A886" s="195">
        <v>6</v>
      </c>
      <c r="B886" s="195">
        <v>108</v>
      </c>
      <c r="C886" s="195" t="s">
        <v>1308</v>
      </c>
      <c r="D886" s="64">
        <v>7720</v>
      </c>
      <c r="E886" s="195" t="s">
        <v>1192</v>
      </c>
      <c r="F886" s="71" t="s">
        <v>508</v>
      </c>
      <c r="G886" s="71" t="s">
        <v>1216</v>
      </c>
      <c r="H886" s="71" t="s">
        <v>1196</v>
      </c>
      <c r="I886" s="71" t="s">
        <v>1082</v>
      </c>
    </row>
    <row r="887" spans="1:9" ht="58" x14ac:dyDescent="0.35">
      <c r="A887" s="195">
        <v>6</v>
      </c>
      <c r="B887" s="195">
        <v>109</v>
      </c>
      <c r="C887" s="195" t="s">
        <v>1309</v>
      </c>
      <c r="D887" s="64">
        <v>2190</v>
      </c>
      <c r="E887" s="195" t="s">
        <v>1192</v>
      </c>
      <c r="F887" s="71" t="s">
        <v>508</v>
      </c>
      <c r="G887" s="71" t="s">
        <v>1216</v>
      </c>
      <c r="H887" s="71" t="s">
        <v>1196</v>
      </c>
      <c r="I887" s="71" t="s">
        <v>4175</v>
      </c>
    </row>
    <row r="888" spans="1:9" ht="43.5" x14ac:dyDescent="0.35">
      <c r="A888" s="195">
        <v>6</v>
      </c>
      <c r="B888" s="195">
        <v>110</v>
      </c>
      <c r="C888" s="195" t="s">
        <v>1310</v>
      </c>
      <c r="D888" s="64">
        <v>14505</v>
      </c>
      <c r="E888" s="195" t="s">
        <v>1192</v>
      </c>
      <c r="F888" s="71" t="s">
        <v>508</v>
      </c>
      <c r="G888" s="71" t="s">
        <v>1216</v>
      </c>
      <c r="H888" s="71" t="s">
        <v>1201</v>
      </c>
      <c r="I888" s="71" t="s">
        <v>362</v>
      </c>
    </row>
    <row r="889" spans="1:9" ht="43.5" x14ac:dyDescent="0.35">
      <c r="A889" s="195">
        <v>6</v>
      </c>
      <c r="B889" s="195">
        <v>111</v>
      </c>
      <c r="C889" s="195" t="s">
        <v>1311</v>
      </c>
      <c r="D889" s="64">
        <v>10680</v>
      </c>
      <c r="E889" s="195" t="s">
        <v>1192</v>
      </c>
      <c r="F889" s="71" t="s">
        <v>508</v>
      </c>
      <c r="G889" s="71" t="s">
        <v>1216</v>
      </c>
      <c r="H889" s="71" t="s">
        <v>1201</v>
      </c>
      <c r="I889" s="71" t="s">
        <v>1057</v>
      </c>
    </row>
    <row r="890" spans="1:9" ht="43.5" x14ac:dyDescent="0.35">
      <c r="A890" s="195">
        <v>6</v>
      </c>
      <c r="B890" s="195">
        <v>112</v>
      </c>
      <c r="C890" s="195" t="s">
        <v>1312</v>
      </c>
      <c r="D890" s="64">
        <v>3825</v>
      </c>
      <c r="E890" s="195" t="s">
        <v>1192</v>
      </c>
      <c r="F890" s="71" t="s">
        <v>508</v>
      </c>
      <c r="G890" s="71" t="s">
        <v>1216</v>
      </c>
      <c r="H890" s="71" t="s">
        <v>1201</v>
      </c>
      <c r="I890" s="71" t="s">
        <v>1082</v>
      </c>
    </row>
    <row r="891" spans="1:9" ht="58" x14ac:dyDescent="0.35">
      <c r="A891" s="195">
        <v>6</v>
      </c>
      <c r="B891" s="195">
        <v>113</v>
      </c>
      <c r="C891" s="195" t="s">
        <v>1313</v>
      </c>
      <c r="D891" s="195">
        <v>0</v>
      </c>
      <c r="E891" s="195" t="s">
        <v>1192</v>
      </c>
      <c r="F891" s="71" t="s">
        <v>508</v>
      </c>
      <c r="G891" s="71" t="s">
        <v>1216</v>
      </c>
      <c r="H891" s="71" t="s">
        <v>1201</v>
      </c>
      <c r="I891" s="71" t="s">
        <v>4175</v>
      </c>
    </row>
    <row r="892" spans="1:9" ht="43.5" x14ac:dyDescent="0.35">
      <c r="A892" s="195">
        <v>6</v>
      </c>
      <c r="B892" s="195">
        <v>114</v>
      </c>
      <c r="C892" s="195" t="s">
        <v>1314</v>
      </c>
      <c r="D892" s="64">
        <v>9470</v>
      </c>
      <c r="E892" s="195" t="s">
        <v>1192</v>
      </c>
      <c r="F892" s="71" t="s">
        <v>508</v>
      </c>
      <c r="G892" s="71" t="s">
        <v>1216</v>
      </c>
      <c r="H892" s="71" t="s">
        <v>1206</v>
      </c>
      <c r="I892" s="71" t="s">
        <v>362</v>
      </c>
    </row>
    <row r="893" spans="1:9" ht="43.5" x14ac:dyDescent="0.35">
      <c r="A893" s="195">
        <v>6</v>
      </c>
      <c r="B893" s="195">
        <v>115</v>
      </c>
      <c r="C893" s="195" t="s">
        <v>1315</v>
      </c>
      <c r="D893" s="64">
        <v>3725</v>
      </c>
      <c r="E893" s="195" t="s">
        <v>1192</v>
      </c>
      <c r="F893" s="71" t="s">
        <v>508</v>
      </c>
      <c r="G893" s="71" t="s">
        <v>1216</v>
      </c>
      <c r="H893" s="71" t="s">
        <v>1206</v>
      </c>
      <c r="I893" s="71" t="s">
        <v>1057</v>
      </c>
    </row>
    <row r="894" spans="1:9" ht="43.5" x14ac:dyDescent="0.35">
      <c r="A894" s="195">
        <v>6</v>
      </c>
      <c r="B894" s="195">
        <v>116</v>
      </c>
      <c r="C894" s="195" t="s">
        <v>1316</v>
      </c>
      <c r="D894" s="64">
        <v>5745</v>
      </c>
      <c r="E894" s="195" t="s">
        <v>1192</v>
      </c>
      <c r="F894" s="71" t="s">
        <v>508</v>
      </c>
      <c r="G894" s="71" t="s">
        <v>1216</v>
      </c>
      <c r="H894" s="71" t="s">
        <v>1206</v>
      </c>
      <c r="I894" s="71" t="s">
        <v>1082</v>
      </c>
    </row>
    <row r="895" spans="1:9" ht="58" x14ac:dyDescent="0.35">
      <c r="A895" s="195">
        <v>6</v>
      </c>
      <c r="B895" s="195">
        <v>117</v>
      </c>
      <c r="C895" s="195" t="s">
        <v>1317</v>
      </c>
      <c r="D895" s="195">
        <v>0</v>
      </c>
      <c r="E895" s="195" t="s">
        <v>1192</v>
      </c>
      <c r="F895" s="71" t="s">
        <v>508</v>
      </c>
      <c r="G895" s="71" t="s">
        <v>1216</v>
      </c>
      <c r="H895" s="71" t="s">
        <v>1206</v>
      </c>
      <c r="I895" s="71" t="s">
        <v>4175</v>
      </c>
    </row>
    <row r="896" spans="1:9" ht="43.5" x14ac:dyDescent="0.35">
      <c r="A896" s="195">
        <v>6</v>
      </c>
      <c r="B896" s="195">
        <v>118</v>
      </c>
      <c r="C896" s="195" t="s">
        <v>1318</v>
      </c>
      <c r="D896" s="64">
        <v>7455</v>
      </c>
      <c r="E896" s="195" t="s">
        <v>1192</v>
      </c>
      <c r="F896" s="71" t="s">
        <v>508</v>
      </c>
      <c r="G896" s="71" t="s">
        <v>1216</v>
      </c>
      <c r="H896" s="71" t="s">
        <v>1211</v>
      </c>
      <c r="I896" s="71" t="s">
        <v>362</v>
      </c>
    </row>
    <row r="897" spans="1:9" ht="43.5" x14ac:dyDescent="0.35">
      <c r="A897" s="195">
        <v>6</v>
      </c>
      <c r="B897" s="195">
        <v>119</v>
      </c>
      <c r="C897" s="195" t="s">
        <v>1319</v>
      </c>
      <c r="D897" s="64">
        <v>960</v>
      </c>
      <c r="E897" s="195" t="s">
        <v>1192</v>
      </c>
      <c r="F897" s="71" t="s">
        <v>508</v>
      </c>
      <c r="G897" s="71" t="s">
        <v>1216</v>
      </c>
      <c r="H897" s="71" t="s">
        <v>1211</v>
      </c>
      <c r="I897" s="71" t="s">
        <v>1057</v>
      </c>
    </row>
    <row r="898" spans="1:9" ht="43.5" x14ac:dyDescent="0.35">
      <c r="A898" s="195">
        <v>6</v>
      </c>
      <c r="B898" s="195">
        <v>120</v>
      </c>
      <c r="C898" s="195" t="s">
        <v>1320</v>
      </c>
      <c r="D898" s="64">
        <v>6495</v>
      </c>
      <c r="E898" s="195" t="s">
        <v>1192</v>
      </c>
      <c r="F898" s="71" t="s">
        <v>508</v>
      </c>
      <c r="G898" s="71" t="s">
        <v>1216</v>
      </c>
      <c r="H898" s="71" t="s">
        <v>1211</v>
      </c>
      <c r="I898" s="71" t="s">
        <v>1082</v>
      </c>
    </row>
    <row r="899" spans="1:9" ht="58" x14ac:dyDescent="0.35">
      <c r="A899" s="195">
        <v>6</v>
      </c>
      <c r="B899" s="195">
        <v>121</v>
      </c>
      <c r="C899" s="195" t="s">
        <v>1321</v>
      </c>
      <c r="D899" s="195">
        <v>0</v>
      </c>
      <c r="E899" s="195" t="s">
        <v>1192</v>
      </c>
      <c r="F899" s="71" t="s">
        <v>508</v>
      </c>
      <c r="G899" s="71" t="s">
        <v>1216</v>
      </c>
      <c r="H899" s="71" t="s">
        <v>1211</v>
      </c>
      <c r="I899" s="71" t="s">
        <v>4175</v>
      </c>
    </row>
    <row r="900" spans="1:9" ht="29" x14ac:dyDescent="0.35">
      <c r="A900" s="195">
        <v>6</v>
      </c>
      <c r="B900" s="195">
        <v>122</v>
      </c>
      <c r="C900" s="195" t="s">
        <v>1322</v>
      </c>
      <c r="D900" s="64">
        <v>45700</v>
      </c>
      <c r="E900" s="195" t="s">
        <v>1192</v>
      </c>
      <c r="F900" s="71" t="s">
        <v>508</v>
      </c>
      <c r="G900" s="71" t="s">
        <v>1234</v>
      </c>
      <c r="H900" s="71" t="s">
        <v>363</v>
      </c>
      <c r="I900" s="71" t="s">
        <v>362</v>
      </c>
    </row>
    <row r="901" spans="1:9" ht="43.5" x14ac:dyDescent="0.35">
      <c r="A901" s="195">
        <v>6</v>
      </c>
      <c r="B901" s="195">
        <v>123</v>
      </c>
      <c r="C901" s="195" t="s">
        <v>1323</v>
      </c>
      <c r="D901" s="64">
        <v>24820</v>
      </c>
      <c r="E901" s="195" t="s">
        <v>1192</v>
      </c>
      <c r="F901" s="71" t="s">
        <v>508</v>
      </c>
      <c r="G901" s="71" t="s">
        <v>1234</v>
      </c>
      <c r="H901" s="71" t="s">
        <v>1196</v>
      </c>
      <c r="I901" s="71" t="s">
        <v>362</v>
      </c>
    </row>
    <row r="902" spans="1:9" ht="43.5" x14ac:dyDescent="0.35">
      <c r="A902" s="195">
        <v>6</v>
      </c>
      <c r="B902" s="195">
        <v>124</v>
      </c>
      <c r="C902" s="195" t="s">
        <v>1324</v>
      </c>
      <c r="D902" s="64">
        <v>19410</v>
      </c>
      <c r="E902" s="195" t="s">
        <v>1192</v>
      </c>
      <c r="F902" s="71" t="s">
        <v>508</v>
      </c>
      <c r="G902" s="71" t="s">
        <v>1234</v>
      </c>
      <c r="H902" s="71" t="s">
        <v>1196</v>
      </c>
      <c r="I902" s="71" t="s">
        <v>1057</v>
      </c>
    </row>
    <row r="903" spans="1:9" ht="43.5" x14ac:dyDescent="0.35">
      <c r="A903" s="195">
        <v>6</v>
      </c>
      <c r="B903" s="195">
        <v>125</v>
      </c>
      <c r="C903" s="195" t="s">
        <v>1325</v>
      </c>
      <c r="D903" s="64">
        <v>4050</v>
      </c>
      <c r="E903" s="195" t="s">
        <v>1192</v>
      </c>
      <c r="F903" s="71" t="s">
        <v>508</v>
      </c>
      <c r="G903" s="71" t="s">
        <v>1234</v>
      </c>
      <c r="H903" s="71" t="s">
        <v>1196</v>
      </c>
      <c r="I903" s="71" t="s">
        <v>1082</v>
      </c>
    </row>
    <row r="904" spans="1:9" ht="58" x14ac:dyDescent="0.35">
      <c r="A904" s="195">
        <v>6</v>
      </c>
      <c r="B904" s="195">
        <v>126</v>
      </c>
      <c r="C904" s="195" t="s">
        <v>1326</v>
      </c>
      <c r="D904" s="64">
        <v>1365</v>
      </c>
      <c r="E904" s="195" t="s">
        <v>1192</v>
      </c>
      <c r="F904" s="71" t="s">
        <v>508</v>
      </c>
      <c r="G904" s="71" t="s">
        <v>1234</v>
      </c>
      <c r="H904" s="71" t="s">
        <v>1196</v>
      </c>
      <c r="I904" s="71" t="s">
        <v>4175</v>
      </c>
    </row>
    <row r="905" spans="1:9" ht="43.5" x14ac:dyDescent="0.35">
      <c r="A905" s="195">
        <v>6</v>
      </c>
      <c r="B905" s="195">
        <v>127</v>
      </c>
      <c r="C905" s="195" t="s">
        <v>1327</v>
      </c>
      <c r="D905" s="64">
        <v>9425</v>
      </c>
      <c r="E905" s="195" t="s">
        <v>1192</v>
      </c>
      <c r="F905" s="71" t="s">
        <v>508</v>
      </c>
      <c r="G905" s="71" t="s">
        <v>1234</v>
      </c>
      <c r="H905" s="71" t="s">
        <v>1201</v>
      </c>
      <c r="I905" s="71" t="s">
        <v>362</v>
      </c>
    </row>
    <row r="906" spans="1:9" ht="43.5" x14ac:dyDescent="0.35">
      <c r="A906" s="195">
        <v>6</v>
      </c>
      <c r="B906" s="195">
        <v>128</v>
      </c>
      <c r="C906" s="195" t="s">
        <v>1328</v>
      </c>
      <c r="D906" s="64">
        <v>7415</v>
      </c>
      <c r="E906" s="195" t="s">
        <v>1192</v>
      </c>
      <c r="F906" s="71" t="s">
        <v>508</v>
      </c>
      <c r="G906" s="71" t="s">
        <v>1234</v>
      </c>
      <c r="H906" s="71" t="s">
        <v>1201</v>
      </c>
      <c r="I906" s="71" t="s">
        <v>1057</v>
      </c>
    </row>
    <row r="907" spans="1:9" ht="43.5" x14ac:dyDescent="0.35">
      <c r="A907" s="195">
        <v>6</v>
      </c>
      <c r="B907" s="195">
        <v>129</v>
      </c>
      <c r="C907" s="195" t="s">
        <v>1329</v>
      </c>
      <c r="D907" s="64">
        <v>2010</v>
      </c>
      <c r="E907" s="195" t="s">
        <v>1192</v>
      </c>
      <c r="F907" s="71" t="s">
        <v>508</v>
      </c>
      <c r="G907" s="71" t="s">
        <v>1234</v>
      </c>
      <c r="H907" s="71" t="s">
        <v>1201</v>
      </c>
      <c r="I907" s="71" t="s">
        <v>1082</v>
      </c>
    </row>
    <row r="908" spans="1:9" ht="58" x14ac:dyDescent="0.35">
      <c r="A908" s="195">
        <v>6</v>
      </c>
      <c r="B908" s="195">
        <v>130</v>
      </c>
      <c r="C908" s="195" t="s">
        <v>1330</v>
      </c>
      <c r="D908" s="195">
        <v>0</v>
      </c>
      <c r="E908" s="195" t="s">
        <v>1192</v>
      </c>
      <c r="F908" s="71" t="s">
        <v>508</v>
      </c>
      <c r="G908" s="71" t="s">
        <v>1234</v>
      </c>
      <c r="H908" s="71" t="s">
        <v>1201</v>
      </c>
      <c r="I908" s="71" t="s">
        <v>4175</v>
      </c>
    </row>
    <row r="909" spans="1:9" ht="43.5" x14ac:dyDescent="0.35">
      <c r="A909" s="195">
        <v>6</v>
      </c>
      <c r="B909" s="195">
        <v>131</v>
      </c>
      <c r="C909" s="195" t="s">
        <v>1331</v>
      </c>
      <c r="D909" s="64">
        <v>5895</v>
      </c>
      <c r="E909" s="195" t="s">
        <v>1192</v>
      </c>
      <c r="F909" s="71" t="s">
        <v>508</v>
      </c>
      <c r="G909" s="71" t="s">
        <v>1234</v>
      </c>
      <c r="H909" s="71" t="s">
        <v>1206</v>
      </c>
      <c r="I909" s="71" t="s">
        <v>362</v>
      </c>
    </row>
    <row r="910" spans="1:9" ht="43.5" x14ac:dyDescent="0.35">
      <c r="A910" s="195">
        <v>6</v>
      </c>
      <c r="B910" s="195">
        <v>132</v>
      </c>
      <c r="C910" s="195" t="s">
        <v>1332</v>
      </c>
      <c r="D910" s="64">
        <v>2280</v>
      </c>
      <c r="E910" s="195" t="s">
        <v>1192</v>
      </c>
      <c r="F910" s="71" t="s">
        <v>508</v>
      </c>
      <c r="G910" s="71" t="s">
        <v>1234</v>
      </c>
      <c r="H910" s="71" t="s">
        <v>1206</v>
      </c>
      <c r="I910" s="71" t="s">
        <v>1057</v>
      </c>
    </row>
    <row r="911" spans="1:9" ht="43.5" x14ac:dyDescent="0.35">
      <c r="A911" s="195">
        <v>6</v>
      </c>
      <c r="B911" s="195">
        <v>133</v>
      </c>
      <c r="C911" s="195" t="s">
        <v>1333</v>
      </c>
      <c r="D911" s="64">
        <v>3615</v>
      </c>
      <c r="E911" s="195" t="s">
        <v>1192</v>
      </c>
      <c r="F911" s="71" t="s">
        <v>508</v>
      </c>
      <c r="G911" s="71" t="s">
        <v>1234</v>
      </c>
      <c r="H911" s="71" t="s">
        <v>1206</v>
      </c>
      <c r="I911" s="71" t="s">
        <v>1082</v>
      </c>
    </row>
    <row r="912" spans="1:9" ht="58" x14ac:dyDescent="0.35">
      <c r="A912" s="195">
        <v>6</v>
      </c>
      <c r="B912" s="195">
        <v>134</v>
      </c>
      <c r="C912" s="195" t="s">
        <v>1334</v>
      </c>
      <c r="D912" s="195">
        <v>0</v>
      </c>
      <c r="E912" s="195" t="s">
        <v>1192</v>
      </c>
      <c r="F912" s="71" t="s">
        <v>508</v>
      </c>
      <c r="G912" s="71" t="s">
        <v>1234</v>
      </c>
      <c r="H912" s="71" t="s">
        <v>1206</v>
      </c>
      <c r="I912" s="71" t="s">
        <v>4175</v>
      </c>
    </row>
    <row r="913" spans="1:9" ht="43.5" x14ac:dyDescent="0.35">
      <c r="A913" s="195">
        <v>6</v>
      </c>
      <c r="B913" s="195">
        <v>135</v>
      </c>
      <c r="C913" s="195" t="s">
        <v>1335</v>
      </c>
      <c r="D913" s="64">
        <v>5555</v>
      </c>
      <c r="E913" s="195" t="s">
        <v>1192</v>
      </c>
      <c r="F913" s="71" t="s">
        <v>508</v>
      </c>
      <c r="G913" s="71" t="s">
        <v>1234</v>
      </c>
      <c r="H913" s="71" t="s">
        <v>1211</v>
      </c>
      <c r="I913" s="71" t="s">
        <v>362</v>
      </c>
    </row>
    <row r="914" spans="1:9" ht="43.5" x14ac:dyDescent="0.35">
      <c r="A914" s="195">
        <v>6</v>
      </c>
      <c r="B914" s="195">
        <v>136</v>
      </c>
      <c r="C914" s="195" t="s">
        <v>1336</v>
      </c>
      <c r="D914" s="64">
        <v>695</v>
      </c>
      <c r="E914" s="195" t="s">
        <v>1192</v>
      </c>
      <c r="F914" s="71" t="s">
        <v>508</v>
      </c>
      <c r="G914" s="71" t="s">
        <v>1234</v>
      </c>
      <c r="H914" s="71" t="s">
        <v>1211</v>
      </c>
      <c r="I914" s="71" t="s">
        <v>1057</v>
      </c>
    </row>
    <row r="915" spans="1:9" ht="43.5" x14ac:dyDescent="0.35">
      <c r="A915" s="195">
        <v>6</v>
      </c>
      <c r="B915" s="195">
        <v>137</v>
      </c>
      <c r="C915" s="195" t="s">
        <v>1337</v>
      </c>
      <c r="D915" s="64">
        <v>4865</v>
      </c>
      <c r="E915" s="195" t="s">
        <v>1192</v>
      </c>
      <c r="F915" s="71" t="s">
        <v>508</v>
      </c>
      <c r="G915" s="71" t="s">
        <v>1234</v>
      </c>
      <c r="H915" s="71" t="s">
        <v>1211</v>
      </c>
      <c r="I915" s="71" t="s">
        <v>1082</v>
      </c>
    </row>
    <row r="916" spans="1:9" ht="58" x14ac:dyDescent="0.35">
      <c r="A916" s="195">
        <v>6</v>
      </c>
      <c r="B916" s="195">
        <v>138</v>
      </c>
      <c r="C916" s="195" t="s">
        <v>1338</v>
      </c>
      <c r="D916" s="195">
        <v>0</v>
      </c>
      <c r="E916" s="195" t="s">
        <v>1192</v>
      </c>
      <c r="F916" s="71" t="s">
        <v>508</v>
      </c>
      <c r="G916" s="71" t="s">
        <v>1234</v>
      </c>
      <c r="H916" s="71" t="s">
        <v>1211</v>
      </c>
      <c r="I916" s="71" t="s">
        <v>4175</v>
      </c>
    </row>
    <row r="917" spans="1:9" ht="43.5" x14ac:dyDescent="0.35">
      <c r="A917" s="195">
        <v>6</v>
      </c>
      <c r="B917" s="195">
        <v>139</v>
      </c>
      <c r="C917" s="195" t="s">
        <v>1339</v>
      </c>
      <c r="D917" s="64">
        <v>52715</v>
      </c>
      <c r="E917" s="195" t="s">
        <v>1192</v>
      </c>
      <c r="F917" s="71" t="s">
        <v>508</v>
      </c>
      <c r="G917" s="71" t="s">
        <v>1252</v>
      </c>
      <c r="H917" s="71" t="s">
        <v>363</v>
      </c>
      <c r="I917" s="71" t="s">
        <v>362</v>
      </c>
    </row>
    <row r="918" spans="1:9" ht="43.5" x14ac:dyDescent="0.35">
      <c r="A918" s="195">
        <v>6</v>
      </c>
      <c r="B918" s="195">
        <v>140</v>
      </c>
      <c r="C918" s="195" t="s">
        <v>1340</v>
      </c>
      <c r="D918" s="64">
        <v>29955</v>
      </c>
      <c r="E918" s="195" t="s">
        <v>1192</v>
      </c>
      <c r="F918" s="71" t="s">
        <v>508</v>
      </c>
      <c r="G918" s="71" t="s">
        <v>1252</v>
      </c>
      <c r="H918" s="71" t="s">
        <v>1196</v>
      </c>
      <c r="I918" s="71" t="s">
        <v>362</v>
      </c>
    </row>
    <row r="919" spans="1:9" ht="43.5" x14ac:dyDescent="0.35">
      <c r="A919" s="195">
        <v>6</v>
      </c>
      <c r="B919" s="195">
        <v>141</v>
      </c>
      <c r="C919" s="195" t="s">
        <v>1341</v>
      </c>
      <c r="D919" s="64">
        <v>23275</v>
      </c>
      <c r="E919" s="195" t="s">
        <v>1192</v>
      </c>
      <c r="F919" s="71" t="s">
        <v>508</v>
      </c>
      <c r="G919" s="71" t="s">
        <v>1252</v>
      </c>
      <c r="H919" s="71" t="s">
        <v>1196</v>
      </c>
      <c r="I919" s="71" t="s">
        <v>1057</v>
      </c>
    </row>
    <row r="920" spans="1:9" ht="43.5" x14ac:dyDescent="0.35">
      <c r="A920" s="195">
        <v>6</v>
      </c>
      <c r="B920" s="195">
        <v>142</v>
      </c>
      <c r="C920" s="195" t="s">
        <v>1342</v>
      </c>
      <c r="D920" s="64">
        <v>5205</v>
      </c>
      <c r="E920" s="195" t="s">
        <v>1192</v>
      </c>
      <c r="F920" s="71" t="s">
        <v>508</v>
      </c>
      <c r="G920" s="71" t="s">
        <v>1252</v>
      </c>
      <c r="H920" s="71" t="s">
        <v>1196</v>
      </c>
      <c r="I920" s="71" t="s">
        <v>1082</v>
      </c>
    </row>
    <row r="921" spans="1:9" ht="58" x14ac:dyDescent="0.35">
      <c r="A921" s="195">
        <v>6</v>
      </c>
      <c r="B921" s="195">
        <v>143</v>
      </c>
      <c r="C921" s="195" t="s">
        <v>1343</v>
      </c>
      <c r="D921" s="64">
        <v>1470</v>
      </c>
      <c r="E921" s="195" t="s">
        <v>1192</v>
      </c>
      <c r="F921" s="71" t="s">
        <v>508</v>
      </c>
      <c r="G921" s="71" t="s">
        <v>1252</v>
      </c>
      <c r="H921" s="71" t="s">
        <v>1196</v>
      </c>
      <c r="I921" s="71" t="s">
        <v>4175</v>
      </c>
    </row>
    <row r="922" spans="1:9" ht="43.5" x14ac:dyDescent="0.35">
      <c r="A922" s="195">
        <v>6</v>
      </c>
      <c r="B922" s="195">
        <v>144</v>
      </c>
      <c r="C922" s="195" t="s">
        <v>1344</v>
      </c>
      <c r="D922" s="64">
        <v>10380</v>
      </c>
      <c r="E922" s="195" t="s">
        <v>1192</v>
      </c>
      <c r="F922" s="71" t="s">
        <v>508</v>
      </c>
      <c r="G922" s="71" t="s">
        <v>1252</v>
      </c>
      <c r="H922" s="71" t="s">
        <v>1201</v>
      </c>
      <c r="I922" s="71" t="s">
        <v>362</v>
      </c>
    </row>
    <row r="923" spans="1:9" ht="43.5" x14ac:dyDescent="0.35">
      <c r="A923" s="195">
        <v>6</v>
      </c>
      <c r="B923" s="195">
        <v>145</v>
      </c>
      <c r="C923" s="195" t="s">
        <v>1345</v>
      </c>
      <c r="D923" s="64">
        <v>7625</v>
      </c>
      <c r="E923" s="195" t="s">
        <v>1192</v>
      </c>
      <c r="F923" s="71" t="s">
        <v>508</v>
      </c>
      <c r="G923" s="71" t="s">
        <v>1252</v>
      </c>
      <c r="H923" s="71" t="s">
        <v>1201</v>
      </c>
      <c r="I923" s="71" t="s">
        <v>1057</v>
      </c>
    </row>
    <row r="924" spans="1:9" ht="43.5" x14ac:dyDescent="0.35">
      <c r="A924" s="195">
        <v>6</v>
      </c>
      <c r="B924" s="195">
        <v>146</v>
      </c>
      <c r="C924" s="195" t="s">
        <v>1346</v>
      </c>
      <c r="D924" s="64">
        <v>2755</v>
      </c>
      <c r="E924" s="195" t="s">
        <v>1192</v>
      </c>
      <c r="F924" s="71" t="s">
        <v>508</v>
      </c>
      <c r="G924" s="71" t="s">
        <v>1252</v>
      </c>
      <c r="H924" s="71" t="s">
        <v>1201</v>
      </c>
      <c r="I924" s="71" t="s">
        <v>1082</v>
      </c>
    </row>
    <row r="925" spans="1:9" ht="58" x14ac:dyDescent="0.35">
      <c r="A925" s="195">
        <v>6</v>
      </c>
      <c r="B925" s="195">
        <v>147</v>
      </c>
      <c r="C925" s="195" t="s">
        <v>1347</v>
      </c>
      <c r="D925" s="195">
        <v>0</v>
      </c>
      <c r="E925" s="195" t="s">
        <v>1192</v>
      </c>
      <c r="F925" s="71" t="s">
        <v>508</v>
      </c>
      <c r="G925" s="71" t="s">
        <v>1252</v>
      </c>
      <c r="H925" s="71" t="s">
        <v>1201</v>
      </c>
      <c r="I925" s="71" t="s">
        <v>4175</v>
      </c>
    </row>
    <row r="926" spans="1:9" ht="43.5" x14ac:dyDescent="0.35">
      <c r="A926" s="195">
        <v>6</v>
      </c>
      <c r="B926" s="195">
        <v>148</v>
      </c>
      <c r="C926" s="195" t="s">
        <v>1348</v>
      </c>
      <c r="D926" s="64">
        <v>6745</v>
      </c>
      <c r="E926" s="195" t="s">
        <v>1192</v>
      </c>
      <c r="F926" s="71" t="s">
        <v>508</v>
      </c>
      <c r="G926" s="71" t="s">
        <v>1252</v>
      </c>
      <c r="H926" s="71" t="s">
        <v>1206</v>
      </c>
      <c r="I926" s="71" t="s">
        <v>362</v>
      </c>
    </row>
    <row r="927" spans="1:9" ht="43.5" x14ac:dyDescent="0.35">
      <c r="A927" s="195">
        <v>6</v>
      </c>
      <c r="B927" s="195">
        <v>149</v>
      </c>
      <c r="C927" s="195" t="s">
        <v>1349</v>
      </c>
      <c r="D927" s="64">
        <v>2790</v>
      </c>
      <c r="E927" s="195" t="s">
        <v>1192</v>
      </c>
      <c r="F927" s="71" t="s">
        <v>508</v>
      </c>
      <c r="G927" s="71" t="s">
        <v>1252</v>
      </c>
      <c r="H927" s="71" t="s">
        <v>1206</v>
      </c>
      <c r="I927" s="71" t="s">
        <v>1057</v>
      </c>
    </row>
    <row r="928" spans="1:9" ht="43.5" x14ac:dyDescent="0.35">
      <c r="A928" s="195">
        <v>6</v>
      </c>
      <c r="B928" s="195">
        <v>150</v>
      </c>
      <c r="C928" s="195" t="s">
        <v>1350</v>
      </c>
      <c r="D928" s="64">
        <v>3955</v>
      </c>
      <c r="E928" s="195" t="s">
        <v>1192</v>
      </c>
      <c r="F928" s="71" t="s">
        <v>508</v>
      </c>
      <c r="G928" s="71" t="s">
        <v>1252</v>
      </c>
      <c r="H928" s="71" t="s">
        <v>1206</v>
      </c>
      <c r="I928" s="71" t="s">
        <v>1082</v>
      </c>
    </row>
    <row r="929" spans="1:9" ht="58" x14ac:dyDescent="0.35">
      <c r="A929" s="195">
        <v>6</v>
      </c>
      <c r="B929" s="195">
        <v>151</v>
      </c>
      <c r="C929" s="195" t="s">
        <v>1351</v>
      </c>
      <c r="D929" s="195">
        <v>0</v>
      </c>
      <c r="E929" s="195" t="s">
        <v>1192</v>
      </c>
      <c r="F929" s="71" t="s">
        <v>508</v>
      </c>
      <c r="G929" s="71" t="s">
        <v>1252</v>
      </c>
      <c r="H929" s="71" t="s">
        <v>1206</v>
      </c>
      <c r="I929" s="71" t="s">
        <v>4175</v>
      </c>
    </row>
    <row r="930" spans="1:9" ht="43.5" x14ac:dyDescent="0.35">
      <c r="A930" s="195">
        <v>6</v>
      </c>
      <c r="B930" s="195">
        <v>152</v>
      </c>
      <c r="C930" s="195" t="s">
        <v>1352</v>
      </c>
      <c r="D930" s="64">
        <v>5635</v>
      </c>
      <c r="E930" s="195" t="s">
        <v>1192</v>
      </c>
      <c r="F930" s="71" t="s">
        <v>508</v>
      </c>
      <c r="G930" s="71" t="s">
        <v>1252</v>
      </c>
      <c r="H930" s="71" t="s">
        <v>1211</v>
      </c>
      <c r="I930" s="71" t="s">
        <v>362</v>
      </c>
    </row>
    <row r="931" spans="1:9" ht="43.5" x14ac:dyDescent="0.35">
      <c r="A931" s="195">
        <v>6</v>
      </c>
      <c r="B931" s="195">
        <v>153</v>
      </c>
      <c r="C931" s="195" t="s">
        <v>1353</v>
      </c>
      <c r="D931" s="64">
        <v>860</v>
      </c>
      <c r="E931" s="195" t="s">
        <v>1192</v>
      </c>
      <c r="F931" s="71" t="s">
        <v>508</v>
      </c>
      <c r="G931" s="71" t="s">
        <v>1252</v>
      </c>
      <c r="H931" s="71" t="s">
        <v>1211</v>
      </c>
      <c r="I931" s="71" t="s">
        <v>1057</v>
      </c>
    </row>
    <row r="932" spans="1:9" ht="43.5" x14ac:dyDescent="0.35">
      <c r="A932" s="195">
        <v>6</v>
      </c>
      <c r="B932" s="195">
        <v>154</v>
      </c>
      <c r="C932" s="195" t="s">
        <v>1354</v>
      </c>
      <c r="D932" s="64">
        <v>4775</v>
      </c>
      <c r="E932" s="195" t="s">
        <v>1192</v>
      </c>
      <c r="F932" s="71" t="s">
        <v>508</v>
      </c>
      <c r="G932" s="71" t="s">
        <v>1252</v>
      </c>
      <c r="H932" s="71" t="s">
        <v>1211</v>
      </c>
      <c r="I932" s="71" t="s">
        <v>1082</v>
      </c>
    </row>
    <row r="933" spans="1:9" ht="58" x14ac:dyDescent="0.35">
      <c r="A933" s="195">
        <v>6</v>
      </c>
      <c r="B933" s="195">
        <v>155</v>
      </c>
      <c r="C933" s="195" t="s">
        <v>1355</v>
      </c>
      <c r="D933" s="195">
        <v>0</v>
      </c>
      <c r="E933" s="195" t="s">
        <v>1192</v>
      </c>
      <c r="F933" s="71" t="s">
        <v>508</v>
      </c>
      <c r="G933" s="71" t="s">
        <v>1252</v>
      </c>
      <c r="H933" s="71" t="s">
        <v>1211</v>
      </c>
      <c r="I933" s="71" t="s">
        <v>4175</v>
      </c>
    </row>
    <row r="934" spans="1:9" ht="43.5" x14ac:dyDescent="0.35">
      <c r="A934" s="195">
        <v>6</v>
      </c>
      <c r="B934" s="195">
        <v>156</v>
      </c>
      <c r="C934" s="195" t="s">
        <v>1356</v>
      </c>
      <c r="D934" s="64">
        <v>467665</v>
      </c>
      <c r="E934" s="195" t="s">
        <v>1192</v>
      </c>
      <c r="F934" s="71" t="s">
        <v>508</v>
      </c>
      <c r="G934" s="71" t="s">
        <v>1270</v>
      </c>
      <c r="H934" s="71" t="s">
        <v>363</v>
      </c>
      <c r="I934" s="71" t="s">
        <v>362</v>
      </c>
    </row>
    <row r="935" spans="1:9" ht="43.5" x14ac:dyDescent="0.35">
      <c r="A935" s="195">
        <v>6</v>
      </c>
      <c r="B935" s="195">
        <v>157</v>
      </c>
      <c r="C935" s="195" t="s">
        <v>1357</v>
      </c>
      <c r="D935" s="64">
        <v>129120</v>
      </c>
      <c r="E935" s="195" t="s">
        <v>1192</v>
      </c>
      <c r="F935" s="71" t="s">
        <v>508</v>
      </c>
      <c r="G935" s="71" t="s">
        <v>1270</v>
      </c>
      <c r="H935" s="71" t="s">
        <v>1196</v>
      </c>
      <c r="I935" s="71" t="s">
        <v>362</v>
      </c>
    </row>
    <row r="936" spans="1:9" ht="43.5" x14ac:dyDescent="0.35">
      <c r="A936" s="195">
        <v>6</v>
      </c>
      <c r="B936" s="195">
        <v>158</v>
      </c>
      <c r="C936" s="195" t="s">
        <v>1358</v>
      </c>
      <c r="D936" s="64">
        <v>99295</v>
      </c>
      <c r="E936" s="195" t="s">
        <v>1192</v>
      </c>
      <c r="F936" s="71" t="s">
        <v>508</v>
      </c>
      <c r="G936" s="71" t="s">
        <v>1270</v>
      </c>
      <c r="H936" s="71" t="s">
        <v>1196</v>
      </c>
      <c r="I936" s="71" t="s">
        <v>1057</v>
      </c>
    </row>
    <row r="937" spans="1:9" ht="43.5" x14ac:dyDescent="0.35">
      <c r="A937" s="195">
        <v>6</v>
      </c>
      <c r="B937" s="195">
        <v>159</v>
      </c>
      <c r="C937" s="195" t="s">
        <v>1359</v>
      </c>
      <c r="D937" s="64">
        <v>12110</v>
      </c>
      <c r="E937" s="195" t="s">
        <v>1192</v>
      </c>
      <c r="F937" s="71" t="s">
        <v>508</v>
      </c>
      <c r="G937" s="71" t="s">
        <v>1270</v>
      </c>
      <c r="H937" s="71" t="s">
        <v>1196</v>
      </c>
      <c r="I937" s="71" t="s">
        <v>1082</v>
      </c>
    </row>
    <row r="938" spans="1:9" ht="58" x14ac:dyDescent="0.35">
      <c r="A938" s="195">
        <v>6</v>
      </c>
      <c r="B938" s="195">
        <v>160</v>
      </c>
      <c r="C938" s="195" t="s">
        <v>1360</v>
      </c>
      <c r="D938" s="64">
        <v>17715</v>
      </c>
      <c r="E938" s="195" t="s">
        <v>1192</v>
      </c>
      <c r="F938" s="71" t="s">
        <v>508</v>
      </c>
      <c r="G938" s="71" t="s">
        <v>1270</v>
      </c>
      <c r="H938" s="71" t="s">
        <v>1196</v>
      </c>
      <c r="I938" s="71" t="s">
        <v>4175</v>
      </c>
    </row>
    <row r="939" spans="1:9" ht="43.5" x14ac:dyDescent="0.35">
      <c r="A939" s="195">
        <v>6</v>
      </c>
      <c r="B939" s="195">
        <v>161</v>
      </c>
      <c r="C939" s="195" t="s">
        <v>1361</v>
      </c>
      <c r="D939" s="64">
        <v>77300</v>
      </c>
      <c r="E939" s="195" t="s">
        <v>1192</v>
      </c>
      <c r="F939" s="71" t="s">
        <v>508</v>
      </c>
      <c r="G939" s="71" t="s">
        <v>1270</v>
      </c>
      <c r="H939" s="71" t="s">
        <v>1201</v>
      </c>
      <c r="I939" s="71" t="s">
        <v>362</v>
      </c>
    </row>
    <row r="940" spans="1:9" ht="43.5" x14ac:dyDescent="0.35">
      <c r="A940" s="195">
        <v>6</v>
      </c>
      <c r="B940" s="195">
        <v>162</v>
      </c>
      <c r="C940" s="195" t="s">
        <v>1362</v>
      </c>
      <c r="D940" s="64">
        <v>60955</v>
      </c>
      <c r="E940" s="195" t="s">
        <v>1192</v>
      </c>
      <c r="F940" s="71" t="s">
        <v>508</v>
      </c>
      <c r="G940" s="71" t="s">
        <v>1270</v>
      </c>
      <c r="H940" s="71" t="s">
        <v>1201</v>
      </c>
      <c r="I940" s="71" t="s">
        <v>1057</v>
      </c>
    </row>
    <row r="941" spans="1:9" ht="43.5" x14ac:dyDescent="0.35">
      <c r="A941" s="195">
        <v>6</v>
      </c>
      <c r="B941" s="195">
        <v>163</v>
      </c>
      <c r="C941" s="195" t="s">
        <v>1363</v>
      </c>
      <c r="D941" s="64">
        <v>16345</v>
      </c>
      <c r="E941" s="195" t="s">
        <v>1192</v>
      </c>
      <c r="F941" s="71" t="s">
        <v>508</v>
      </c>
      <c r="G941" s="71" t="s">
        <v>1270</v>
      </c>
      <c r="H941" s="71" t="s">
        <v>1201</v>
      </c>
      <c r="I941" s="71" t="s">
        <v>1082</v>
      </c>
    </row>
    <row r="942" spans="1:9" ht="58" x14ac:dyDescent="0.35">
      <c r="A942" s="195">
        <v>6</v>
      </c>
      <c r="B942" s="195">
        <v>164</v>
      </c>
      <c r="C942" s="195" t="s">
        <v>1364</v>
      </c>
      <c r="D942" s="195">
        <v>0</v>
      </c>
      <c r="E942" s="195" t="s">
        <v>1192</v>
      </c>
      <c r="F942" s="71" t="s">
        <v>508</v>
      </c>
      <c r="G942" s="71" t="s">
        <v>1270</v>
      </c>
      <c r="H942" s="71" t="s">
        <v>1201</v>
      </c>
      <c r="I942" s="71" t="s">
        <v>4175</v>
      </c>
    </row>
    <row r="943" spans="1:9" ht="43.5" x14ac:dyDescent="0.35">
      <c r="A943" s="195">
        <v>6</v>
      </c>
      <c r="B943" s="195">
        <v>165</v>
      </c>
      <c r="C943" s="195" t="s">
        <v>1365</v>
      </c>
      <c r="D943" s="64">
        <v>83450</v>
      </c>
      <c r="E943" s="195" t="s">
        <v>1192</v>
      </c>
      <c r="F943" s="71" t="s">
        <v>508</v>
      </c>
      <c r="G943" s="71" t="s">
        <v>1270</v>
      </c>
      <c r="H943" s="71" t="s">
        <v>1206</v>
      </c>
      <c r="I943" s="71" t="s">
        <v>362</v>
      </c>
    </row>
    <row r="944" spans="1:9" ht="43.5" x14ac:dyDescent="0.35">
      <c r="A944" s="195">
        <v>6</v>
      </c>
      <c r="B944" s="195">
        <v>166</v>
      </c>
      <c r="C944" s="195" t="s">
        <v>1366</v>
      </c>
      <c r="D944" s="64">
        <v>34025</v>
      </c>
      <c r="E944" s="195" t="s">
        <v>1192</v>
      </c>
      <c r="F944" s="71" t="s">
        <v>508</v>
      </c>
      <c r="G944" s="71" t="s">
        <v>1270</v>
      </c>
      <c r="H944" s="71" t="s">
        <v>1206</v>
      </c>
      <c r="I944" s="71" t="s">
        <v>1057</v>
      </c>
    </row>
    <row r="945" spans="1:9" ht="43.5" x14ac:dyDescent="0.35">
      <c r="A945" s="195">
        <v>6</v>
      </c>
      <c r="B945" s="195">
        <v>167</v>
      </c>
      <c r="C945" s="195" t="s">
        <v>1367</v>
      </c>
      <c r="D945" s="64">
        <v>49425</v>
      </c>
      <c r="E945" s="195" t="s">
        <v>1192</v>
      </c>
      <c r="F945" s="71" t="s">
        <v>508</v>
      </c>
      <c r="G945" s="71" t="s">
        <v>1270</v>
      </c>
      <c r="H945" s="71" t="s">
        <v>1206</v>
      </c>
      <c r="I945" s="71" t="s">
        <v>1082</v>
      </c>
    </row>
    <row r="946" spans="1:9" ht="58" x14ac:dyDescent="0.35">
      <c r="A946" s="195">
        <v>6</v>
      </c>
      <c r="B946" s="195">
        <v>168</v>
      </c>
      <c r="C946" s="195" t="s">
        <v>1368</v>
      </c>
      <c r="D946" s="195">
        <v>0</v>
      </c>
      <c r="E946" s="195" t="s">
        <v>1192</v>
      </c>
      <c r="F946" s="71" t="s">
        <v>508</v>
      </c>
      <c r="G946" s="71" t="s">
        <v>1270</v>
      </c>
      <c r="H946" s="71" t="s">
        <v>1206</v>
      </c>
      <c r="I946" s="71" t="s">
        <v>4175</v>
      </c>
    </row>
    <row r="947" spans="1:9" ht="43.5" x14ac:dyDescent="0.35">
      <c r="A947" s="195">
        <v>6</v>
      </c>
      <c r="B947" s="195">
        <v>169</v>
      </c>
      <c r="C947" s="195" t="s">
        <v>1369</v>
      </c>
      <c r="D947" s="64">
        <v>177795</v>
      </c>
      <c r="E947" s="195" t="s">
        <v>1192</v>
      </c>
      <c r="F947" s="71" t="s">
        <v>508</v>
      </c>
      <c r="G947" s="71" t="s">
        <v>1270</v>
      </c>
      <c r="H947" s="71" t="s">
        <v>1211</v>
      </c>
      <c r="I947" s="71" t="s">
        <v>362</v>
      </c>
    </row>
    <row r="948" spans="1:9" ht="43.5" x14ac:dyDescent="0.35">
      <c r="A948" s="195">
        <v>6</v>
      </c>
      <c r="B948" s="195">
        <v>170</v>
      </c>
      <c r="C948" s="195" t="s">
        <v>1370</v>
      </c>
      <c r="D948" s="64">
        <v>21160</v>
      </c>
      <c r="E948" s="195" t="s">
        <v>1192</v>
      </c>
      <c r="F948" s="71" t="s">
        <v>508</v>
      </c>
      <c r="G948" s="71" t="s">
        <v>1270</v>
      </c>
      <c r="H948" s="71" t="s">
        <v>1211</v>
      </c>
      <c r="I948" s="71" t="s">
        <v>1057</v>
      </c>
    </row>
    <row r="949" spans="1:9" ht="43.5" x14ac:dyDescent="0.35">
      <c r="A949" s="195">
        <v>6</v>
      </c>
      <c r="B949" s="195">
        <v>171</v>
      </c>
      <c r="C949" s="195" t="s">
        <v>1371</v>
      </c>
      <c r="D949" s="64">
        <v>156635</v>
      </c>
      <c r="E949" s="195" t="s">
        <v>1192</v>
      </c>
      <c r="F949" s="71" t="s">
        <v>508</v>
      </c>
      <c r="G949" s="71" t="s">
        <v>1270</v>
      </c>
      <c r="H949" s="71" t="s">
        <v>1211</v>
      </c>
      <c r="I949" s="71" t="s">
        <v>1082</v>
      </c>
    </row>
    <row r="950" spans="1:9" ht="58" x14ac:dyDescent="0.35">
      <c r="A950" s="195">
        <v>6</v>
      </c>
      <c r="B950" s="195">
        <v>172</v>
      </c>
      <c r="C950" s="195" t="s">
        <v>1372</v>
      </c>
      <c r="D950" s="195">
        <v>0</v>
      </c>
      <c r="E950" s="195" t="s">
        <v>1192</v>
      </c>
      <c r="F950" s="71" t="s">
        <v>508</v>
      </c>
      <c r="G950" s="71" t="s">
        <v>1270</v>
      </c>
      <c r="H950" s="71" t="s">
        <v>1211</v>
      </c>
      <c r="I950" s="71" t="s">
        <v>4175</v>
      </c>
    </row>
    <row r="951" spans="1:9" ht="29" x14ac:dyDescent="0.35">
      <c r="A951" s="195">
        <v>7</v>
      </c>
      <c r="B951" s="195">
        <v>1</v>
      </c>
      <c r="C951" s="195" t="s">
        <v>1373</v>
      </c>
      <c r="D951" s="64">
        <v>1042580</v>
      </c>
      <c r="E951" s="195" t="s">
        <v>26</v>
      </c>
      <c r="F951" s="71" t="s">
        <v>361</v>
      </c>
      <c r="G951" s="71" t="s">
        <v>363</v>
      </c>
      <c r="H951" s="71" t="s">
        <v>982</v>
      </c>
      <c r="I951" s="71" t="s">
        <v>1374</v>
      </c>
    </row>
    <row r="952" spans="1:9" x14ac:dyDescent="0.35">
      <c r="A952" s="195">
        <v>7</v>
      </c>
      <c r="B952" s="195">
        <v>2</v>
      </c>
      <c r="C952" s="195" t="s">
        <v>1375</v>
      </c>
      <c r="D952" s="64">
        <v>459890</v>
      </c>
      <c r="E952" s="195" t="s">
        <v>366</v>
      </c>
      <c r="F952" s="71" t="s">
        <v>367</v>
      </c>
      <c r="G952" s="71" t="s">
        <v>363</v>
      </c>
      <c r="H952" s="71" t="s">
        <v>982</v>
      </c>
      <c r="I952" s="71" t="s">
        <v>1374</v>
      </c>
    </row>
    <row r="953" spans="1:9" ht="43.5" x14ac:dyDescent="0.35">
      <c r="A953" s="195">
        <v>7</v>
      </c>
      <c r="B953" s="195">
        <v>3</v>
      </c>
      <c r="C953" s="195" t="s">
        <v>1376</v>
      </c>
      <c r="D953" s="64">
        <v>48445</v>
      </c>
      <c r="E953" s="195" t="s">
        <v>366</v>
      </c>
      <c r="F953" s="71" t="s">
        <v>367</v>
      </c>
      <c r="G953" s="71" t="s">
        <v>1377</v>
      </c>
      <c r="H953" s="71" t="s">
        <v>982</v>
      </c>
      <c r="I953" s="71" t="s">
        <v>1374</v>
      </c>
    </row>
    <row r="954" spans="1:9" ht="43.5" x14ac:dyDescent="0.35">
      <c r="A954" s="195">
        <v>7</v>
      </c>
      <c r="B954" s="195">
        <v>4</v>
      </c>
      <c r="C954" s="195" t="s">
        <v>1378</v>
      </c>
      <c r="D954" s="64">
        <v>6855</v>
      </c>
      <c r="E954" s="195" t="s">
        <v>366</v>
      </c>
      <c r="F954" s="71" t="s">
        <v>367</v>
      </c>
      <c r="G954" s="71" t="s">
        <v>1377</v>
      </c>
      <c r="H954" s="71" t="s">
        <v>1379</v>
      </c>
      <c r="I954" s="71" t="s">
        <v>1374</v>
      </c>
    </row>
    <row r="955" spans="1:9" ht="43.5" x14ac:dyDescent="0.35">
      <c r="A955" s="195">
        <v>7</v>
      </c>
      <c r="B955" s="195">
        <v>5</v>
      </c>
      <c r="C955" s="195" t="s">
        <v>1380</v>
      </c>
      <c r="D955" s="64">
        <v>850</v>
      </c>
      <c r="E955" s="195" t="s">
        <v>373</v>
      </c>
      <c r="F955" s="71" t="s">
        <v>367</v>
      </c>
      <c r="G955" s="71" t="s">
        <v>1377</v>
      </c>
      <c r="H955" s="71" t="s">
        <v>1379</v>
      </c>
      <c r="I955" s="71" t="s">
        <v>1381</v>
      </c>
    </row>
    <row r="956" spans="1:9" ht="43.5" x14ac:dyDescent="0.35">
      <c r="A956" s="195">
        <v>7</v>
      </c>
      <c r="B956" s="195">
        <v>6</v>
      </c>
      <c r="C956" s="195" t="s">
        <v>1382</v>
      </c>
      <c r="D956" s="64">
        <v>1165</v>
      </c>
      <c r="E956" s="195" t="s">
        <v>373</v>
      </c>
      <c r="F956" s="71" t="s">
        <v>367</v>
      </c>
      <c r="G956" s="71" t="s">
        <v>1377</v>
      </c>
      <c r="H956" s="71" t="s">
        <v>1379</v>
      </c>
      <c r="I956" s="71" t="s">
        <v>1383</v>
      </c>
    </row>
    <row r="957" spans="1:9" ht="43.5" x14ac:dyDescent="0.35">
      <c r="A957" s="195">
        <v>7</v>
      </c>
      <c r="B957" s="195">
        <v>7</v>
      </c>
      <c r="C957" s="195" t="s">
        <v>1384</v>
      </c>
      <c r="D957" s="64">
        <v>4440</v>
      </c>
      <c r="E957" s="195" t="s">
        <v>373</v>
      </c>
      <c r="F957" s="71" t="s">
        <v>367</v>
      </c>
      <c r="G957" s="71" t="s">
        <v>1377</v>
      </c>
      <c r="H957" s="71" t="s">
        <v>1379</v>
      </c>
      <c r="I957" s="71" t="s">
        <v>1385</v>
      </c>
    </row>
    <row r="958" spans="1:9" ht="43.5" x14ac:dyDescent="0.35">
      <c r="A958" s="195">
        <v>7</v>
      </c>
      <c r="B958" s="195">
        <v>8</v>
      </c>
      <c r="C958" s="195" t="s">
        <v>1386</v>
      </c>
      <c r="D958" s="195">
        <v>400</v>
      </c>
      <c r="E958" s="195" t="s">
        <v>373</v>
      </c>
      <c r="F958" s="71" t="s">
        <v>367</v>
      </c>
      <c r="G958" s="71" t="s">
        <v>1377</v>
      </c>
      <c r="H958" s="71" t="s">
        <v>1379</v>
      </c>
      <c r="I958" s="71" t="s">
        <v>1387</v>
      </c>
    </row>
    <row r="959" spans="1:9" ht="58" x14ac:dyDescent="0.35">
      <c r="A959" s="195">
        <v>7</v>
      </c>
      <c r="B959" s="195">
        <v>9</v>
      </c>
      <c r="C959" s="195" t="s">
        <v>1388</v>
      </c>
      <c r="D959" s="64">
        <v>11505</v>
      </c>
      <c r="E959" s="195" t="s">
        <v>366</v>
      </c>
      <c r="F959" s="71" t="s">
        <v>367</v>
      </c>
      <c r="G959" s="71" t="s">
        <v>1377</v>
      </c>
      <c r="H959" s="71" t="s">
        <v>1389</v>
      </c>
      <c r="I959" s="71" t="s">
        <v>1374</v>
      </c>
    </row>
    <row r="960" spans="1:9" ht="58" x14ac:dyDescent="0.35">
      <c r="A960" s="195">
        <v>7</v>
      </c>
      <c r="B960" s="195">
        <v>10</v>
      </c>
      <c r="C960" s="195" t="s">
        <v>1390</v>
      </c>
      <c r="D960" s="64">
        <v>925</v>
      </c>
      <c r="E960" s="195" t="s">
        <v>373</v>
      </c>
      <c r="F960" s="71" t="s">
        <v>367</v>
      </c>
      <c r="G960" s="71" t="s">
        <v>1377</v>
      </c>
      <c r="H960" s="71" t="s">
        <v>1389</v>
      </c>
      <c r="I960" s="71" t="s">
        <v>1381</v>
      </c>
    </row>
    <row r="961" spans="1:9" ht="58" x14ac:dyDescent="0.35">
      <c r="A961" s="195">
        <v>7</v>
      </c>
      <c r="B961" s="195">
        <v>11</v>
      </c>
      <c r="C961" s="195" t="s">
        <v>1391</v>
      </c>
      <c r="D961" s="64">
        <v>1270</v>
      </c>
      <c r="E961" s="195" t="s">
        <v>373</v>
      </c>
      <c r="F961" s="71" t="s">
        <v>367</v>
      </c>
      <c r="G961" s="71" t="s">
        <v>1377</v>
      </c>
      <c r="H961" s="71" t="s">
        <v>1389</v>
      </c>
      <c r="I961" s="71" t="s">
        <v>1383</v>
      </c>
    </row>
    <row r="962" spans="1:9" ht="58" x14ac:dyDescent="0.35">
      <c r="A962" s="195">
        <v>7</v>
      </c>
      <c r="B962" s="195">
        <v>12</v>
      </c>
      <c r="C962" s="195" t="s">
        <v>1392</v>
      </c>
      <c r="D962" s="64">
        <v>8340</v>
      </c>
      <c r="E962" s="195" t="s">
        <v>373</v>
      </c>
      <c r="F962" s="71" t="s">
        <v>367</v>
      </c>
      <c r="G962" s="71" t="s">
        <v>1377</v>
      </c>
      <c r="H962" s="71" t="s">
        <v>1389</v>
      </c>
      <c r="I962" s="71" t="s">
        <v>1385</v>
      </c>
    </row>
    <row r="963" spans="1:9" ht="58" x14ac:dyDescent="0.35">
      <c r="A963" s="195">
        <v>7</v>
      </c>
      <c r="B963" s="195">
        <v>13</v>
      </c>
      <c r="C963" s="195" t="s">
        <v>1393</v>
      </c>
      <c r="D963" s="64">
        <v>970</v>
      </c>
      <c r="E963" s="195" t="s">
        <v>373</v>
      </c>
      <c r="F963" s="71" t="s">
        <v>367</v>
      </c>
      <c r="G963" s="71" t="s">
        <v>1377</v>
      </c>
      <c r="H963" s="71" t="s">
        <v>1389</v>
      </c>
      <c r="I963" s="71" t="s">
        <v>1387</v>
      </c>
    </row>
    <row r="964" spans="1:9" ht="43.5" x14ac:dyDescent="0.35">
      <c r="A964" s="195">
        <v>7</v>
      </c>
      <c r="B964" s="195">
        <v>14</v>
      </c>
      <c r="C964" s="195" t="s">
        <v>1394</v>
      </c>
      <c r="D964" s="64">
        <v>3975</v>
      </c>
      <c r="E964" s="195" t="s">
        <v>366</v>
      </c>
      <c r="F964" s="71" t="s">
        <v>367</v>
      </c>
      <c r="G964" s="71" t="s">
        <v>1377</v>
      </c>
      <c r="H964" s="71" t="s">
        <v>1395</v>
      </c>
      <c r="I964" s="71" t="s">
        <v>1374</v>
      </c>
    </row>
    <row r="965" spans="1:9" ht="43.5" x14ac:dyDescent="0.35">
      <c r="A965" s="195">
        <v>7</v>
      </c>
      <c r="B965" s="195">
        <v>15</v>
      </c>
      <c r="C965" s="195" t="s">
        <v>1396</v>
      </c>
      <c r="D965" s="195">
        <v>360</v>
      </c>
      <c r="E965" s="195" t="s">
        <v>373</v>
      </c>
      <c r="F965" s="71" t="s">
        <v>367</v>
      </c>
      <c r="G965" s="71" t="s">
        <v>1377</v>
      </c>
      <c r="H965" s="71" t="s">
        <v>1395</v>
      </c>
      <c r="I965" s="71" t="s">
        <v>1381</v>
      </c>
    </row>
    <row r="966" spans="1:9" ht="43.5" x14ac:dyDescent="0.35">
      <c r="A966" s="195">
        <v>7</v>
      </c>
      <c r="B966" s="195">
        <v>16</v>
      </c>
      <c r="C966" s="195" t="s">
        <v>1397</v>
      </c>
      <c r="D966" s="64">
        <v>655</v>
      </c>
      <c r="E966" s="195" t="s">
        <v>373</v>
      </c>
      <c r="F966" s="71" t="s">
        <v>367</v>
      </c>
      <c r="G966" s="71" t="s">
        <v>1377</v>
      </c>
      <c r="H966" s="71" t="s">
        <v>1395</v>
      </c>
      <c r="I966" s="71" t="s">
        <v>1383</v>
      </c>
    </row>
    <row r="967" spans="1:9" ht="43.5" x14ac:dyDescent="0.35">
      <c r="A967" s="195">
        <v>7</v>
      </c>
      <c r="B967" s="195">
        <v>17</v>
      </c>
      <c r="C967" s="195" t="s">
        <v>1398</v>
      </c>
      <c r="D967" s="64">
        <v>2835</v>
      </c>
      <c r="E967" s="195" t="s">
        <v>373</v>
      </c>
      <c r="F967" s="71" t="s">
        <v>367</v>
      </c>
      <c r="G967" s="71" t="s">
        <v>1377</v>
      </c>
      <c r="H967" s="71" t="s">
        <v>1395</v>
      </c>
      <c r="I967" s="71" t="s">
        <v>1385</v>
      </c>
    </row>
    <row r="968" spans="1:9" ht="43.5" x14ac:dyDescent="0.35">
      <c r="A968" s="195">
        <v>7</v>
      </c>
      <c r="B968" s="195">
        <v>18</v>
      </c>
      <c r="C968" s="195" t="s">
        <v>1399</v>
      </c>
      <c r="D968" s="195">
        <v>125</v>
      </c>
      <c r="E968" s="195" t="s">
        <v>373</v>
      </c>
      <c r="F968" s="71" t="s">
        <v>367</v>
      </c>
      <c r="G968" s="71" t="s">
        <v>1377</v>
      </c>
      <c r="H968" s="71" t="s">
        <v>1395</v>
      </c>
      <c r="I968" s="71" t="s">
        <v>1387</v>
      </c>
    </row>
    <row r="969" spans="1:9" ht="43.5" x14ac:dyDescent="0.35">
      <c r="A969" s="195">
        <v>7</v>
      </c>
      <c r="B969" s="195">
        <v>19</v>
      </c>
      <c r="C969" s="195" t="s">
        <v>1400</v>
      </c>
      <c r="D969" s="64">
        <v>16435</v>
      </c>
      <c r="E969" s="195" t="s">
        <v>366</v>
      </c>
      <c r="F969" s="71" t="s">
        <v>367</v>
      </c>
      <c r="G969" s="71" t="s">
        <v>1377</v>
      </c>
      <c r="H969" s="71" t="s">
        <v>1401</v>
      </c>
      <c r="I969" s="71" t="s">
        <v>1374</v>
      </c>
    </row>
    <row r="970" spans="1:9" ht="43.5" x14ac:dyDescent="0.35">
      <c r="A970" s="195">
        <v>7</v>
      </c>
      <c r="B970" s="195">
        <v>20</v>
      </c>
      <c r="C970" s="195" t="s">
        <v>1402</v>
      </c>
      <c r="D970" s="64">
        <v>2155</v>
      </c>
      <c r="E970" s="195" t="s">
        <v>373</v>
      </c>
      <c r="F970" s="71" t="s">
        <v>367</v>
      </c>
      <c r="G970" s="71" t="s">
        <v>1377</v>
      </c>
      <c r="H970" s="71" t="s">
        <v>1401</v>
      </c>
      <c r="I970" s="71" t="s">
        <v>1381</v>
      </c>
    </row>
    <row r="971" spans="1:9" ht="43.5" x14ac:dyDescent="0.35">
      <c r="A971" s="195">
        <v>7</v>
      </c>
      <c r="B971" s="195">
        <v>21</v>
      </c>
      <c r="C971" s="195" t="s">
        <v>1403</v>
      </c>
      <c r="D971" s="64">
        <v>3055</v>
      </c>
      <c r="E971" s="195" t="s">
        <v>373</v>
      </c>
      <c r="F971" s="71" t="s">
        <v>367</v>
      </c>
      <c r="G971" s="71" t="s">
        <v>1377</v>
      </c>
      <c r="H971" s="71" t="s">
        <v>1401</v>
      </c>
      <c r="I971" s="71" t="s">
        <v>1383</v>
      </c>
    </row>
    <row r="972" spans="1:9" ht="43.5" x14ac:dyDescent="0.35">
      <c r="A972" s="195">
        <v>7</v>
      </c>
      <c r="B972" s="195">
        <v>22</v>
      </c>
      <c r="C972" s="195" t="s">
        <v>1404</v>
      </c>
      <c r="D972" s="64">
        <v>10110</v>
      </c>
      <c r="E972" s="195" t="s">
        <v>373</v>
      </c>
      <c r="F972" s="71" t="s">
        <v>367</v>
      </c>
      <c r="G972" s="71" t="s">
        <v>1377</v>
      </c>
      <c r="H972" s="71" t="s">
        <v>1401</v>
      </c>
      <c r="I972" s="71" t="s">
        <v>1385</v>
      </c>
    </row>
    <row r="973" spans="1:9" ht="43.5" x14ac:dyDescent="0.35">
      <c r="A973" s="195">
        <v>7</v>
      </c>
      <c r="B973" s="195">
        <v>23</v>
      </c>
      <c r="C973" s="195" t="s">
        <v>1405</v>
      </c>
      <c r="D973" s="64">
        <v>1120</v>
      </c>
      <c r="E973" s="195" t="s">
        <v>373</v>
      </c>
      <c r="F973" s="71" t="s">
        <v>367</v>
      </c>
      <c r="G973" s="71" t="s">
        <v>1377</v>
      </c>
      <c r="H973" s="71" t="s">
        <v>1401</v>
      </c>
      <c r="I973" s="71" t="s">
        <v>1387</v>
      </c>
    </row>
    <row r="974" spans="1:9" ht="43.5" x14ac:dyDescent="0.35">
      <c r="A974" s="195">
        <v>7</v>
      </c>
      <c r="B974" s="195">
        <v>24</v>
      </c>
      <c r="C974" s="195" t="s">
        <v>1406</v>
      </c>
      <c r="D974" s="64">
        <v>9675</v>
      </c>
      <c r="E974" s="195" t="s">
        <v>366</v>
      </c>
      <c r="F974" s="71" t="s">
        <v>367</v>
      </c>
      <c r="G974" s="71" t="s">
        <v>1377</v>
      </c>
      <c r="H974" s="71" t="s">
        <v>1407</v>
      </c>
      <c r="I974" s="71" t="s">
        <v>1374</v>
      </c>
    </row>
    <row r="975" spans="1:9" ht="43.5" x14ac:dyDescent="0.35">
      <c r="A975" s="195">
        <v>7</v>
      </c>
      <c r="B975" s="195">
        <v>25</v>
      </c>
      <c r="C975" s="195" t="s">
        <v>1408</v>
      </c>
      <c r="D975" s="195">
        <v>440</v>
      </c>
      <c r="E975" s="195" t="s">
        <v>373</v>
      </c>
      <c r="F975" s="71" t="s">
        <v>367</v>
      </c>
      <c r="G975" s="71" t="s">
        <v>1377</v>
      </c>
      <c r="H975" s="71" t="s">
        <v>1407</v>
      </c>
      <c r="I975" s="71" t="s">
        <v>1381</v>
      </c>
    </row>
    <row r="976" spans="1:9" ht="43.5" x14ac:dyDescent="0.35">
      <c r="A976" s="195">
        <v>7</v>
      </c>
      <c r="B976" s="195">
        <v>26</v>
      </c>
      <c r="C976" s="195" t="s">
        <v>1409</v>
      </c>
      <c r="D976" s="64">
        <v>585</v>
      </c>
      <c r="E976" s="195" t="s">
        <v>373</v>
      </c>
      <c r="F976" s="71" t="s">
        <v>367</v>
      </c>
      <c r="G976" s="71" t="s">
        <v>1377</v>
      </c>
      <c r="H976" s="71" t="s">
        <v>1407</v>
      </c>
      <c r="I976" s="71" t="s">
        <v>1383</v>
      </c>
    </row>
    <row r="977" spans="1:9" ht="43.5" x14ac:dyDescent="0.35">
      <c r="A977" s="195">
        <v>7</v>
      </c>
      <c r="B977" s="195">
        <v>27</v>
      </c>
      <c r="C977" s="195" t="s">
        <v>1410</v>
      </c>
      <c r="D977" s="64">
        <v>6570</v>
      </c>
      <c r="E977" s="195" t="s">
        <v>373</v>
      </c>
      <c r="F977" s="71" t="s">
        <v>367</v>
      </c>
      <c r="G977" s="71" t="s">
        <v>1377</v>
      </c>
      <c r="H977" s="71" t="s">
        <v>1407</v>
      </c>
      <c r="I977" s="71" t="s">
        <v>1385</v>
      </c>
    </row>
    <row r="978" spans="1:9" ht="43.5" x14ac:dyDescent="0.35">
      <c r="A978" s="195">
        <v>7</v>
      </c>
      <c r="B978" s="195">
        <v>28</v>
      </c>
      <c r="C978" s="195" t="s">
        <v>1411</v>
      </c>
      <c r="D978" s="64">
        <v>2075</v>
      </c>
      <c r="E978" s="195" t="s">
        <v>373</v>
      </c>
      <c r="F978" s="71" t="s">
        <v>367</v>
      </c>
      <c r="G978" s="71" t="s">
        <v>1377</v>
      </c>
      <c r="H978" s="71" t="s">
        <v>1407</v>
      </c>
      <c r="I978" s="71" t="s">
        <v>1387</v>
      </c>
    </row>
    <row r="979" spans="1:9" ht="43.5" x14ac:dyDescent="0.35">
      <c r="A979" s="195">
        <v>7</v>
      </c>
      <c r="B979" s="195">
        <v>29</v>
      </c>
      <c r="C979" s="195" t="s">
        <v>1412</v>
      </c>
      <c r="D979" s="64">
        <v>51695</v>
      </c>
      <c r="E979" s="195" t="s">
        <v>366</v>
      </c>
      <c r="F979" s="71" t="s">
        <v>367</v>
      </c>
      <c r="G979" s="71" t="s">
        <v>1413</v>
      </c>
      <c r="H979" s="71" t="s">
        <v>982</v>
      </c>
      <c r="I979" s="71" t="s">
        <v>1374</v>
      </c>
    </row>
    <row r="980" spans="1:9" ht="43.5" x14ac:dyDescent="0.35">
      <c r="A980" s="195">
        <v>7</v>
      </c>
      <c r="B980" s="195">
        <v>30</v>
      </c>
      <c r="C980" s="195" t="s">
        <v>1414</v>
      </c>
      <c r="D980" s="64">
        <v>10055</v>
      </c>
      <c r="E980" s="195" t="s">
        <v>366</v>
      </c>
      <c r="F980" s="71" t="s">
        <v>367</v>
      </c>
      <c r="G980" s="71" t="s">
        <v>1413</v>
      </c>
      <c r="H980" s="71" t="s">
        <v>1379</v>
      </c>
      <c r="I980" s="71" t="s">
        <v>1374</v>
      </c>
    </row>
    <row r="981" spans="1:9" ht="43.5" x14ac:dyDescent="0.35">
      <c r="A981" s="195">
        <v>7</v>
      </c>
      <c r="B981" s="195">
        <v>31</v>
      </c>
      <c r="C981" s="195" t="s">
        <v>1415</v>
      </c>
      <c r="D981" s="64">
        <v>4270</v>
      </c>
      <c r="E981" s="195" t="s">
        <v>373</v>
      </c>
      <c r="F981" s="71" t="s">
        <v>367</v>
      </c>
      <c r="G981" s="71" t="s">
        <v>1413</v>
      </c>
      <c r="H981" s="71" t="s">
        <v>1379</v>
      </c>
      <c r="I981" s="71" t="s">
        <v>1381</v>
      </c>
    </row>
    <row r="982" spans="1:9" ht="43.5" x14ac:dyDescent="0.35">
      <c r="A982" s="195">
        <v>7</v>
      </c>
      <c r="B982" s="195">
        <v>32</v>
      </c>
      <c r="C982" s="195" t="s">
        <v>1416</v>
      </c>
      <c r="D982" s="64">
        <v>2930</v>
      </c>
      <c r="E982" s="195" t="s">
        <v>373</v>
      </c>
      <c r="F982" s="71" t="s">
        <v>367</v>
      </c>
      <c r="G982" s="71" t="s">
        <v>1413</v>
      </c>
      <c r="H982" s="71" t="s">
        <v>1379</v>
      </c>
      <c r="I982" s="71" t="s">
        <v>1383</v>
      </c>
    </row>
    <row r="983" spans="1:9" ht="43.5" x14ac:dyDescent="0.35">
      <c r="A983" s="195">
        <v>7</v>
      </c>
      <c r="B983" s="195">
        <v>33</v>
      </c>
      <c r="C983" s="195" t="s">
        <v>1417</v>
      </c>
      <c r="D983" s="64">
        <v>2855</v>
      </c>
      <c r="E983" s="195" t="s">
        <v>373</v>
      </c>
      <c r="F983" s="71" t="s">
        <v>367</v>
      </c>
      <c r="G983" s="71" t="s">
        <v>1413</v>
      </c>
      <c r="H983" s="71" t="s">
        <v>1379</v>
      </c>
      <c r="I983" s="71" t="s">
        <v>1385</v>
      </c>
    </row>
    <row r="984" spans="1:9" ht="43.5" x14ac:dyDescent="0.35">
      <c r="A984" s="195">
        <v>7</v>
      </c>
      <c r="B984" s="195">
        <v>34</v>
      </c>
      <c r="C984" s="195" t="s">
        <v>1418</v>
      </c>
      <c r="D984" s="195">
        <v>0</v>
      </c>
      <c r="E984" s="195" t="s">
        <v>373</v>
      </c>
      <c r="F984" s="71" t="s">
        <v>367</v>
      </c>
      <c r="G984" s="71" t="s">
        <v>1413</v>
      </c>
      <c r="H984" s="71" t="s">
        <v>1379</v>
      </c>
      <c r="I984" s="71" t="s">
        <v>1387</v>
      </c>
    </row>
    <row r="985" spans="1:9" ht="58" x14ac:dyDescent="0.35">
      <c r="A985" s="195">
        <v>7</v>
      </c>
      <c r="B985" s="195">
        <v>35</v>
      </c>
      <c r="C985" s="195" t="s">
        <v>1419</v>
      </c>
      <c r="D985" s="64">
        <v>14970</v>
      </c>
      <c r="E985" s="195" t="s">
        <v>366</v>
      </c>
      <c r="F985" s="71" t="s">
        <v>367</v>
      </c>
      <c r="G985" s="71" t="s">
        <v>1413</v>
      </c>
      <c r="H985" s="71" t="s">
        <v>1389</v>
      </c>
      <c r="I985" s="71" t="s">
        <v>1374</v>
      </c>
    </row>
    <row r="986" spans="1:9" ht="58" x14ac:dyDescent="0.35">
      <c r="A986" s="195">
        <v>7</v>
      </c>
      <c r="B986" s="195">
        <v>36</v>
      </c>
      <c r="C986" s="195" t="s">
        <v>1420</v>
      </c>
      <c r="D986" s="64">
        <v>4070</v>
      </c>
      <c r="E986" s="195" t="s">
        <v>373</v>
      </c>
      <c r="F986" s="71" t="s">
        <v>367</v>
      </c>
      <c r="G986" s="71" t="s">
        <v>1413</v>
      </c>
      <c r="H986" s="71" t="s">
        <v>1389</v>
      </c>
      <c r="I986" s="71" t="s">
        <v>1381</v>
      </c>
    </row>
    <row r="987" spans="1:9" ht="58" x14ac:dyDescent="0.35">
      <c r="A987" s="195">
        <v>7</v>
      </c>
      <c r="B987" s="195">
        <v>37</v>
      </c>
      <c r="C987" s="195" t="s">
        <v>1421</v>
      </c>
      <c r="D987" s="64">
        <v>4095</v>
      </c>
      <c r="E987" s="195" t="s">
        <v>373</v>
      </c>
      <c r="F987" s="71" t="s">
        <v>367</v>
      </c>
      <c r="G987" s="71" t="s">
        <v>1413</v>
      </c>
      <c r="H987" s="71" t="s">
        <v>1389</v>
      </c>
      <c r="I987" s="71" t="s">
        <v>1383</v>
      </c>
    </row>
    <row r="988" spans="1:9" ht="58" x14ac:dyDescent="0.35">
      <c r="A988" s="195">
        <v>7</v>
      </c>
      <c r="B988" s="195">
        <v>38</v>
      </c>
      <c r="C988" s="195" t="s">
        <v>1422</v>
      </c>
      <c r="D988" s="64">
        <v>6800</v>
      </c>
      <c r="E988" s="195" t="s">
        <v>373</v>
      </c>
      <c r="F988" s="71" t="s">
        <v>367</v>
      </c>
      <c r="G988" s="71" t="s">
        <v>1413</v>
      </c>
      <c r="H988" s="71" t="s">
        <v>1389</v>
      </c>
      <c r="I988" s="71" t="s">
        <v>1385</v>
      </c>
    </row>
    <row r="989" spans="1:9" ht="58" x14ac:dyDescent="0.35">
      <c r="A989" s="195">
        <v>7</v>
      </c>
      <c r="B989" s="195">
        <v>39</v>
      </c>
      <c r="C989" s="195" t="s">
        <v>1423</v>
      </c>
      <c r="D989" s="195">
        <v>0</v>
      </c>
      <c r="E989" s="195" t="s">
        <v>373</v>
      </c>
      <c r="F989" s="71" t="s">
        <v>367</v>
      </c>
      <c r="G989" s="71" t="s">
        <v>1413</v>
      </c>
      <c r="H989" s="71" t="s">
        <v>1389</v>
      </c>
      <c r="I989" s="71" t="s">
        <v>1387</v>
      </c>
    </row>
    <row r="990" spans="1:9" ht="43.5" x14ac:dyDescent="0.35">
      <c r="A990" s="195">
        <v>7</v>
      </c>
      <c r="B990" s="195">
        <v>40</v>
      </c>
      <c r="C990" s="195" t="s">
        <v>1424</v>
      </c>
      <c r="D990" s="64">
        <v>7305</v>
      </c>
      <c r="E990" s="195" t="s">
        <v>366</v>
      </c>
      <c r="F990" s="71" t="s">
        <v>367</v>
      </c>
      <c r="G990" s="71" t="s">
        <v>1413</v>
      </c>
      <c r="H990" s="71" t="s">
        <v>1395</v>
      </c>
      <c r="I990" s="71" t="s">
        <v>1374</v>
      </c>
    </row>
    <row r="991" spans="1:9" ht="43.5" x14ac:dyDescent="0.35">
      <c r="A991" s="195">
        <v>7</v>
      </c>
      <c r="B991" s="195">
        <v>41</v>
      </c>
      <c r="C991" s="195" t="s">
        <v>1425</v>
      </c>
      <c r="D991" s="64">
        <v>2110</v>
      </c>
      <c r="E991" s="195" t="s">
        <v>373</v>
      </c>
      <c r="F991" s="71" t="s">
        <v>367</v>
      </c>
      <c r="G991" s="71" t="s">
        <v>1413</v>
      </c>
      <c r="H991" s="71" t="s">
        <v>1395</v>
      </c>
      <c r="I991" s="71" t="s">
        <v>1381</v>
      </c>
    </row>
    <row r="992" spans="1:9" ht="43.5" x14ac:dyDescent="0.35">
      <c r="A992" s="195">
        <v>7</v>
      </c>
      <c r="B992" s="195">
        <v>42</v>
      </c>
      <c r="C992" s="195" t="s">
        <v>1426</v>
      </c>
      <c r="D992" s="64">
        <v>2760</v>
      </c>
      <c r="E992" s="195" t="s">
        <v>373</v>
      </c>
      <c r="F992" s="71" t="s">
        <v>367</v>
      </c>
      <c r="G992" s="71" t="s">
        <v>1413</v>
      </c>
      <c r="H992" s="71" t="s">
        <v>1395</v>
      </c>
      <c r="I992" s="71" t="s">
        <v>1383</v>
      </c>
    </row>
    <row r="993" spans="1:9" ht="43.5" x14ac:dyDescent="0.35">
      <c r="A993" s="195">
        <v>7</v>
      </c>
      <c r="B993" s="195">
        <v>43</v>
      </c>
      <c r="C993" s="195" t="s">
        <v>1427</v>
      </c>
      <c r="D993" s="64">
        <v>2435</v>
      </c>
      <c r="E993" s="195" t="s">
        <v>373</v>
      </c>
      <c r="F993" s="71" t="s">
        <v>367</v>
      </c>
      <c r="G993" s="71" t="s">
        <v>1413</v>
      </c>
      <c r="H993" s="71" t="s">
        <v>1395</v>
      </c>
      <c r="I993" s="71" t="s">
        <v>1385</v>
      </c>
    </row>
    <row r="994" spans="1:9" ht="43.5" x14ac:dyDescent="0.35">
      <c r="A994" s="195">
        <v>7</v>
      </c>
      <c r="B994" s="195">
        <v>44</v>
      </c>
      <c r="C994" s="195" t="s">
        <v>1428</v>
      </c>
      <c r="D994" s="195">
        <v>0</v>
      </c>
      <c r="E994" s="195" t="s">
        <v>373</v>
      </c>
      <c r="F994" s="71" t="s">
        <v>367</v>
      </c>
      <c r="G994" s="71" t="s">
        <v>1413</v>
      </c>
      <c r="H994" s="71" t="s">
        <v>1395</v>
      </c>
      <c r="I994" s="71" t="s">
        <v>1387</v>
      </c>
    </row>
    <row r="995" spans="1:9" ht="43.5" x14ac:dyDescent="0.35">
      <c r="A995" s="195">
        <v>7</v>
      </c>
      <c r="B995" s="195">
        <v>45</v>
      </c>
      <c r="C995" s="195" t="s">
        <v>1429</v>
      </c>
      <c r="D995" s="64">
        <v>13615</v>
      </c>
      <c r="E995" s="195" t="s">
        <v>366</v>
      </c>
      <c r="F995" s="71" t="s">
        <v>367</v>
      </c>
      <c r="G995" s="71" t="s">
        <v>1413</v>
      </c>
      <c r="H995" s="71" t="s">
        <v>1401</v>
      </c>
      <c r="I995" s="71" t="s">
        <v>1374</v>
      </c>
    </row>
    <row r="996" spans="1:9" ht="43.5" x14ac:dyDescent="0.35">
      <c r="A996" s="195">
        <v>7</v>
      </c>
      <c r="B996" s="195">
        <v>46</v>
      </c>
      <c r="C996" s="195" t="s">
        <v>1430</v>
      </c>
      <c r="D996" s="64">
        <v>5580</v>
      </c>
      <c r="E996" s="195" t="s">
        <v>373</v>
      </c>
      <c r="F996" s="71" t="s">
        <v>367</v>
      </c>
      <c r="G996" s="71" t="s">
        <v>1413</v>
      </c>
      <c r="H996" s="71" t="s">
        <v>1401</v>
      </c>
      <c r="I996" s="71" t="s">
        <v>1381</v>
      </c>
    </row>
    <row r="997" spans="1:9" ht="43.5" x14ac:dyDescent="0.35">
      <c r="A997" s="195">
        <v>7</v>
      </c>
      <c r="B997" s="195">
        <v>47</v>
      </c>
      <c r="C997" s="195" t="s">
        <v>1431</v>
      </c>
      <c r="D997" s="64">
        <v>3935</v>
      </c>
      <c r="E997" s="195" t="s">
        <v>373</v>
      </c>
      <c r="F997" s="71" t="s">
        <v>367</v>
      </c>
      <c r="G997" s="71" t="s">
        <v>1413</v>
      </c>
      <c r="H997" s="71" t="s">
        <v>1401</v>
      </c>
      <c r="I997" s="71" t="s">
        <v>1383</v>
      </c>
    </row>
    <row r="998" spans="1:9" ht="43.5" x14ac:dyDescent="0.35">
      <c r="A998" s="195">
        <v>7</v>
      </c>
      <c r="B998" s="195">
        <v>48</v>
      </c>
      <c r="C998" s="195" t="s">
        <v>1432</v>
      </c>
      <c r="D998" s="64">
        <v>4100</v>
      </c>
      <c r="E998" s="195" t="s">
        <v>373</v>
      </c>
      <c r="F998" s="71" t="s">
        <v>367</v>
      </c>
      <c r="G998" s="71" t="s">
        <v>1413</v>
      </c>
      <c r="H998" s="71" t="s">
        <v>1401</v>
      </c>
      <c r="I998" s="71" t="s">
        <v>1385</v>
      </c>
    </row>
    <row r="999" spans="1:9" ht="43.5" x14ac:dyDescent="0.35">
      <c r="A999" s="195">
        <v>7</v>
      </c>
      <c r="B999" s="195">
        <v>49</v>
      </c>
      <c r="C999" s="195" t="s">
        <v>1433</v>
      </c>
      <c r="D999" s="195">
        <v>0</v>
      </c>
      <c r="E999" s="195" t="s">
        <v>373</v>
      </c>
      <c r="F999" s="71" t="s">
        <v>367</v>
      </c>
      <c r="G999" s="71" t="s">
        <v>1413</v>
      </c>
      <c r="H999" s="71" t="s">
        <v>1401</v>
      </c>
      <c r="I999" s="71" t="s">
        <v>1387</v>
      </c>
    </row>
    <row r="1000" spans="1:9" ht="43.5" x14ac:dyDescent="0.35">
      <c r="A1000" s="195">
        <v>7</v>
      </c>
      <c r="B1000" s="195">
        <v>50</v>
      </c>
      <c r="C1000" s="195" t="s">
        <v>1434</v>
      </c>
      <c r="D1000" s="64">
        <v>5750</v>
      </c>
      <c r="E1000" s="195" t="s">
        <v>366</v>
      </c>
      <c r="F1000" s="71" t="s">
        <v>367</v>
      </c>
      <c r="G1000" s="71" t="s">
        <v>1413</v>
      </c>
      <c r="H1000" s="71" t="s">
        <v>1407</v>
      </c>
      <c r="I1000" s="71" t="s">
        <v>1374</v>
      </c>
    </row>
    <row r="1001" spans="1:9" ht="43.5" x14ac:dyDescent="0.35">
      <c r="A1001" s="195">
        <v>7</v>
      </c>
      <c r="B1001" s="195">
        <v>51</v>
      </c>
      <c r="C1001" s="195" t="s">
        <v>1435</v>
      </c>
      <c r="D1001" s="64">
        <v>975</v>
      </c>
      <c r="E1001" s="195" t="s">
        <v>373</v>
      </c>
      <c r="F1001" s="71" t="s">
        <v>367</v>
      </c>
      <c r="G1001" s="71" t="s">
        <v>1413</v>
      </c>
      <c r="H1001" s="71" t="s">
        <v>1407</v>
      </c>
      <c r="I1001" s="71" t="s">
        <v>1381</v>
      </c>
    </row>
    <row r="1002" spans="1:9" ht="43.5" x14ac:dyDescent="0.35">
      <c r="A1002" s="195">
        <v>7</v>
      </c>
      <c r="B1002" s="195">
        <v>52</v>
      </c>
      <c r="C1002" s="195" t="s">
        <v>1436</v>
      </c>
      <c r="D1002" s="64">
        <v>1280</v>
      </c>
      <c r="E1002" s="195" t="s">
        <v>373</v>
      </c>
      <c r="F1002" s="71" t="s">
        <v>367</v>
      </c>
      <c r="G1002" s="71" t="s">
        <v>1413</v>
      </c>
      <c r="H1002" s="71" t="s">
        <v>1407</v>
      </c>
      <c r="I1002" s="71" t="s">
        <v>1383</v>
      </c>
    </row>
    <row r="1003" spans="1:9" ht="43.5" x14ac:dyDescent="0.35">
      <c r="A1003" s="195">
        <v>7</v>
      </c>
      <c r="B1003" s="195">
        <v>53</v>
      </c>
      <c r="C1003" s="195" t="s">
        <v>1437</v>
      </c>
      <c r="D1003" s="64">
        <v>3495</v>
      </c>
      <c r="E1003" s="195" t="s">
        <v>373</v>
      </c>
      <c r="F1003" s="71" t="s">
        <v>367</v>
      </c>
      <c r="G1003" s="71" t="s">
        <v>1413</v>
      </c>
      <c r="H1003" s="71" t="s">
        <v>1407</v>
      </c>
      <c r="I1003" s="71" t="s">
        <v>1385</v>
      </c>
    </row>
    <row r="1004" spans="1:9" ht="43.5" x14ac:dyDescent="0.35">
      <c r="A1004" s="195">
        <v>7</v>
      </c>
      <c r="B1004" s="195">
        <v>54</v>
      </c>
      <c r="C1004" s="195" t="s">
        <v>1438</v>
      </c>
      <c r="D1004" s="195">
        <v>0</v>
      </c>
      <c r="E1004" s="195" t="s">
        <v>373</v>
      </c>
      <c r="F1004" s="71" t="s">
        <v>367</v>
      </c>
      <c r="G1004" s="71" t="s">
        <v>1413</v>
      </c>
      <c r="H1004" s="71" t="s">
        <v>1407</v>
      </c>
      <c r="I1004" s="71" t="s">
        <v>1387</v>
      </c>
    </row>
    <row r="1005" spans="1:9" ht="43.5" x14ac:dyDescent="0.35">
      <c r="A1005" s="195">
        <v>7</v>
      </c>
      <c r="B1005" s="195">
        <v>55</v>
      </c>
      <c r="C1005" s="195" t="s">
        <v>1439</v>
      </c>
      <c r="D1005" s="64">
        <v>71225</v>
      </c>
      <c r="E1005" s="195" t="s">
        <v>366</v>
      </c>
      <c r="F1005" s="71" t="s">
        <v>367</v>
      </c>
      <c r="G1005" s="71" t="s">
        <v>1440</v>
      </c>
      <c r="H1005" s="71" t="s">
        <v>982</v>
      </c>
      <c r="I1005" s="71" t="s">
        <v>1374</v>
      </c>
    </row>
    <row r="1006" spans="1:9" ht="43.5" x14ac:dyDescent="0.35">
      <c r="A1006" s="195">
        <v>7</v>
      </c>
      <c r="B1006" s="195">
        <v>56</v>
      </c>
      <c r="C1006" s="195" t="s">
        <v>1441</v>
      </c>
      <c r="D1006" s="64">
        <v>12710</v>
      </c>
      <c r="E1006" s="195" t="s">
        <v>366</v>
      </c>
      <c r="F1006" s="71" t="s">
        <v>367</v>
      </c>
      <c r="G1006" s="71" t="s">
        <v>1440</v>
      </c>
      <c r="H1006" s="71" t="s">
        <v>1379</v>
      </c>
      <c r="I1006" s="71" t="s">
        <v>1374</v>
      </c>
    </row>
    <row r="1007" spans="1:9" ht="43.5" x14ac:dyDescent="0.35">
      <c r="A1007" s="195">
        <v>7</v>
      </c>
      <c r="B1007" s="195">
        <v>57</v>
      </c>
      <c r="C1007" s="195" t="s">
        <v>1442</v>
      </c>
      <c r="D1007" s="64">
        <v>7975</v>
      </c>
      <c r="E1007" s="195" t="s">
        <v>373</v>
      </c>
      <c r="F1007" s="71" t="s">
        <v>367</v>
      </c>
      <c r="G1007" s="71" t="s">
        <v>1440</v>
      </c>
      <c r="H1007" s="71" t="s">
        <v>1379</v>
      </c>
      <c r="I1007" s="71" t="s">
        <v>1381</v>
      </c>
    </row>
    <row r="1008" spans="1:9" ht="43.5" x14ac:dyDescent="0.35">
      <c r="A1008" s="195">
        <v>7</v>
      </c>
      <c r="B1008" s="195">
        <v>58</v>
      </c>
      <c r="C1008" s="195" t="s">
        <v>1443</v>
      </c>
      <c r="D1008" s="64">
        <v>2985</v>
      </c>
      <c r="E1008" s="195" t="s">
        <v>373</v>
      </c>
      <c r="F1008" s="71" t="s">
        <v>367</v>
      </c>
      <c r="G1008" s="71" t="s">
        <v>1440</v>
      </c>
      <c r="H1008" s="71" t="s">
        <v>1379</v>
      </c>
      <c r="I1008" s="71" t="s">
        <v>1383</v>
      </c>
    </row>
    <row r="1009" spans="1:9" ht="43.5" x14ac:dyDescent="0.35">
      <c r="A1009" s="195">
        <v>7</v>
      </c>
      <c r="B1009" s="195">
        <v>59</v>
      </c>
      <c r="C1009" s="195" t="s">
        <v>1444</v>
      </c>
      <c r="D1009" s="64">
        <v>1745</v>
      </c>
      <c r="E1009" s="195" t="s">
        <v>373</v>
      </c>
      <c r="F1009" s="71" t="s">
        <v>367</v>
      </c>
      <c r="G1009" s="71" t="s">
        <v>1440</v>
      </c>
      <c r="H1009" s="71" t="s">
        <v>1379</v>
      </c>
      <c r="I1009" s="71" t="s">
        <v>1385</v>
      </c>
    </row>
    <row r="1010" spans="1:9" ht="43.5" x14ac:dyDescent="0.35">
      <c r="A1010" s="195">
        <v>7</v>
      </c>
      <c r="B1010" s="195">
        <v>60</v>
      </c>
      <c r="C1010" s="195" t="s">
        <v>1445</v>
      </c>
      <c r="D1010" s="195">
        <v>0</v>
      </c>
      <c r="E1010" s="195" t="s">
        <v>373</v>
      </c>
      <c r="F1010" s="71" t="s">
        <v>367</v>
      </c>
      <c r="G1010" s="71" t="s">
        <v>1440</v>
      </c>
      <c r="H1010" s="71" t="s">
        <v>1379</v>
      </c>
      <c r="I1010" s="71" t="s">
        <v>1387</v>
      </c>
    </row>
    <row r="1011" spans="1:9" ht="58" x14ac:dyDescent="0.35">
      <c r="A1011" s="195">
        <v>7</v>
      </c>
      <c r="B1011" s="195">
        <v>61</v>
      </c>
      <c r="C1011" s="195" t="s">
        <v>1446</v>
      </c>
      <c r="D1011" s="64">
        <v>26295</v>
      </c>
      <c r="E1011" s="195" t="s">
        <v>366</v>
      </c>
      <c r="F1011" s="71" t="s">
        <v>367</v>
      </c>
      <c r="G1011" s="71" t="s">
        <v>1440</v>
      </c>
      <c r="H1011" s="71" t="s">
        <v>1389</v>
      </c>
      <c r="I1011" s="71" t="s">
        <v>1374</v>
      </c>
    </row>
    <row r="1012" spans="1:9" ht="58" x14ac:dyDescent="0.35">
      <c r="A1012" s="195">
        <v>7</v>
      </c>
      <c r="B1012" s="195">
        <v>62</v>
      </c>
      <c r="C1012" s="195" t="s">
        <v>1447</v>
      </c>
      <c r="D1012" s="64">
        <v>11985</v>
      </c>
      <c r="E1012" s="195" t="s">
        <v>373</v>
      </c>
      <c r="F1012" s="71" t="s">
        <v>367</v>
      </c>
      <c r="G1012" s="71" t="s">
        <v>1440</v>
      </c>
      <c r="H1012" s="71" t="s">
        <v>1389</v>
      </c>
      <c r="I1012" s="71" t="s">
        <v>1381</v>
      </c>
    </row>
    <row r="1013" spans="1:9" ht="58" x14ac:dyDescent="0.35">
      <c r="A1013" s="195">
        <v>7</v>
      </c>
      <c r="B1013" s="195">
        <v>63</v>
      </c>
      <c r="C1013" s="195" t="s">
        <v>1448</v>
      </c>
      <c r="D1013" s="64">
        <v>9925</v>
      </c>
      <c r="E1013" s="195" t="s">
        <v>373</v>
      </c>
      <c r="F1013" s="71" t="s">
        <v>367</v>
      </c>
      <c r="G1013" s="71" t="s">
        <v>1440</v>
      </c>
      <c r="H1013" s="71" t="s">
        <v>1389</v>
      </c>
      <c r="I1013" s="71" t="s">
        <v>1383</v>
      </c>
    </row>
    <row r="1014" spans="1:9" ht="58" x14ac:dyDescent="0.35">
      <c r="A1014" s="195">
        <v>7</v>
      </c>
      <c r="B1014" s="195">
        <v>64</v>
      </c>
      <c r="C1014" s="195" t="s">
        <v>1449</v>
      </c>
      <c r="D1014" s="64">
        <v>4385</v>
      </c>
      <c r="E1014" s="195" t="s">
        <v>373</v>
      </c>
      <c r="F1014" s="71" t="s">
        <v>367</v>
      </c>
      <c r="G1014" s="71" t="s">
        <v>1440</v>
      </c>
      <c r="H1014" s="71" t="s">
        <v>1389</v>
      </c>
      <c r="I1014" s="71" t="s">
        <v>1385</v>
      </c>
    </row>
    <row r="1015" spans="1:9" ht="58" x14ac:dyDescent="0.35">
      <c r="A1015" s="195">
        <v>7</v>
      </c>
      <c r="B1015" s="195">
        <v>65</v>
      </c>
      <c r="C1015" s="195" t="s">
        <v>1450</v>
      </c>
      <c r="D1015" s="195">
        <v>0</v>
      </c>
      <c r="E1015" s="195" t="s">
        <v>373</v>
      </c>
      <c r="F1015" s="71" t="s">
        <v>367</v>
      </c>
      <c r="G1015" s="71" t="s">
        <v>1440</v>
      </c>
      <c r="H1015" s="71" t="s">
        <v>1389</v>
      </c>
      <c r="I1015" s="71" t="s">
        <v>1387</v>
      </c>
    </row>
    <row r="1016" spans="1:9" ht="43.5" x14ac:dyDescent="0.35">
      <c r="A1016" s="195">
        <v>7</v>
      </c>
      <c r="B1016" s="195">
        <v>66</v>
      </c>
      <c r="C1016" s="195" t="s">
        <v>1451</v>
      </c>
      <c r="D1016" s="64">
        <v>10730</v>
      </c>
      <c r="E1016" s="195" t="s">
        <v>366</v>
      </c>
      <c r="F1016" s="71" t="s">
        <v>367</v>
      </c>
      <c r="G1016" s="71" t="s">
        <v>1440</v>
      </c>
      <c r="H1016" s="71" t="s">
        <v>1395</v>
      </c>
      <c r="I1016" s="71" t="s">
        <v>1374</v>
      </c>
    </row>
    <row r="1017" spans="1:9" ht="43.5" x14ac:dyDescent="0.35">
      <c r="A1017" s="195">
        <v>7</v>
      </c>
      <c r="B1017" s="195">
        <v>67</v>
      </c>
      <c r="C1017" s="195" t="s">
        <v>1452</v>
      </c>
      <c r="D1017" s="64">
        <v>5870</v>
      </c>
      <c r="E1017" s="195" t="s">
        <v>373</v>
      </c>
      <c r="F1017" s="71" t="s">
        <v>367</v>
      </c>
      <c r="G1017" s="71" t="s">
        <v>1440</v>
      </c>
      <c r="H1017" s="71" t="s">
        <v>1395</v>
      </c>
      <c r="I1017" s="71" t="s">
        <v>1381</v>
      </c>
    </row>
    <row r="1018" spans="1:9" ht="43.5" x14ac:dyDescent="0.35">
      <c r="A1018" s="195">
        <v>7</v>
      </c>
      <c r="B1018" s="195">
        <v>68</v>
      </c>
      <c r="C1018" s="195" t="s">
        <v>1453</v>
      </c>
      <c r="D1018" s="64">
        <v>3840</v>
      </c>
      <c r="E1018" s="195" t="s">
        <v>373</v>
      </c>
      <c r="F1018" s="71" t="s">
        <v>367</v>
      </c>
      <c r="G1018" s="71" t="s">
        <v>1440</v>
      </c>
      <c r="H1018" s="71" t="s">
        <v>1395</v>
      </c>
      <c r="I1018" s="71" t="s">
        <v>1383</v>
      </c>
    </row>
    <row r="1019" spans="1:9" ht="43.5" x14ac:dyDescent="0.35">
      <c r="A1019" s="195">
        <v>7</v>
      </c>
      <c r="B1019" s="195">
        <v>69</v>
      </c>
      <c r="C1019" s="195" t="s">
        <v>1454</v>
      </c>
      <c r="D1019" s="64">
        <v>1020</v>
      </c>
      <c r="E1019" s="195" t="s">
        <v>373</v>
      </c>
      <c r="F1019" s="71" t="s">
        <v>367</v>
      </c>
      <c r="G1019" s="71" t="s">
        <v>1440</v>
      </c>
      <c r="H1019" s="71" t="s">
        <v>1395</v>
      </c>
      <c r="I1019" s="71" t="s">
        <v>1385</v>
      </c>
    </row>
    <row r="1020" spans="1:9" ht="43.5" x14ac:dyDescent="0.35">
      <c r="A1020" s="195">
        <v>7</v>
      </c>
      <c r="B1020" s="195">
        <v>70</v>
      </c>
      <c r="C1020" s="195" t="s">
        <v>1455</v>
      </c>
      <c r="D1020" s="195">
        <v>0</v>
      </c>
      <c r="E1020" s="195" t="s">
        <v>373</v>
      </c>
      <c r="F1020" s="71" t="s">
        <v>367</v>
      </c>
      <c r="G1020" s="71" t="s">
        <v>1440</v>
      </c>
      <c r="H1020" s="71" t="s">
        <v>1395</v>
      </c>
      <c r="I1020" s="71" t="s">
        <v>1387</v>
      </c>
    </row>
    <row r="1021" spans="1:9" ht="43.5" x14ac:dyDescent="0.35">
      <c r="A1021" s="195">
        <v>7</v>
      </c>
      <c r="B1021" s="195">
        <v>71</v>
      </c>
      <c r="C1021" s="195" t="s">
        <v>1456</v>
      </c>
      <c r="D1021" s="64">
        <v>11280</v>
      </c>
      <c r="E1021" s="195" t="s">
        <v>366</v>
      </c>
      <c r="F1021" s="71" t="s">
        <v>367</v>
      </c>
      <c r="G1021" s="71" t="s">
        <v>1440</v>
      </c>
      <c r="H1021" s="71" t="s">
        <v>1401</v>
      </c>
      <c r="I1021" s="71" t="s">
        <v>1374</v>
      </c>
    </row>
    <row r="1022" spans="1:9" ht="43.5" x14ac:dyDescent="0.35">
      <c r="A1022" s="195">
        <v>7</v>
      </c>
      <c r="B1022" s="195">
        <v>72</v>
      </c>
      <c r="C1022" s="195" t="s">
        <v>1457</v>
      </c>
      <c r="D1022" s="64">
        <v>6680</v>
      </c>
      <c r="E1022" s="195" t="s">
        <v>373</v>
      </c>
      <c r="F1022" s="71" t="s">
        <v>367</v>
      </c>
      <c r="G1022" s="71" t="s">
        <v>1440</v>
      </c>
      <c r="H1022" s="71" t="s">
        <v>1401</v>
      </c>
      <c r="I1022" s="71" t="s">
        <v>1381</v>
      </c>
    </row>
    <row r="1023" spans="1:9" ht="43.5" x14ac:dyDescent="0.35">
      <c r="A1023" s="195">
        <v>7</v>
      </c>
      <c r="B1023" s="195">
        <v>73</v>
      </c>
      <c r="C1023" s="195" t="s">
        <v>1458</v>
      </c>
      <c r="D1023" s="64">
        <v>2815</v>
      </c>
      <c r="E1023" s="195" t="s">
        <v>373</v>
      </c>
      <c r="F1023" s="71" t="s">
        <v>367</v>
      </c>
      <c r="G1023" s="71" t="s">
        <v>1440</v>
      </c>
      <c r="H1023" s="71" t="s">
        <v>1401</v>
      </c>
      <c r="I1023" s="71" t="s">
        <v>1383</v>
      </c>
    </row>
    <row r="1024" spans="1:9" ht="43.5" x14ac:dyDescent="0.35">
      <c r="A1024" s="195">
        <v>7</v>
      </c>
      <c r="B1024" s="195">
        <v>74</v>
      </c>
      <c r="C1024" s="195" t="s">
        <v>1459</v>
      </c>
      <c r="D1024" s="64">
        <v>1785</v>
      </c>
      <c r="E1024" s="195" t="s">
        <v>373</v>
      </c>
      <c r="F1024" s="71" t="s">
        <v>367</v>
      </c>
      <c r="G1024" s="71" t="s">
        <v>1440</v>
      </c>
      <c r="H1024" s="71" t="s">
        <v>1401</v>
      </c>
      <c r="I1024" s="71" t="s">
        <v>1385</v>
      </c>
    </row>
    <row r="1025" spans="1:9" ht="43.5" x14ac:dyDescent="0.35">
      <c r="A1025" s="195">
        <v>7</v>
      </c>
      <c r="B1025" s="195">
        <v>75</v>
      </c>
      <c r="C1025" s="195" t="s">
        <v>1460</v>
      </c>
      <c r="D1025" s="195">
        <v>0</v>
      </c>
      <c r="E1025" s="195" t="s">
        <v>373</v>
      </c>
      <c r="F1025" s="71" t="s">
        <v>367</v>
      </c>
      <c r="G1025" s="71" t="s">
        <v>1440</v>
      </c>
      <c r="H1025" s="71" t="s">
        <v>1401</v>
      </c>
      <c r="I1025" s="71" t="s">
        <v>1387</v>
      </c>
    </row>
    <row r="1026" spans="1:9" ht="43.5" x14ac:dyDescent="0.35">
      <c r="A1026" s="195">
        <v>7</v>
      </c>
      <c r="B1026" s="195">
        <v>76</v>
      </c>
      <c r="C1026" s="195" t="s">
        <v>1461</v>
      </c>
      <c r="D1026" s="64">
        <v>10205</v>
      </c>
      <c r="E1026" s="195" t="s">
        <v>366</v>
      </c>
      <c r="F1026" s="71" t="s">
        <v>367</v>
      </c>
      <c r="G1026" s="71" t="s">
        <v>1440</v>
      </c>
      <c r="H1026" s="71" t="s">
        <v>1407</v>
      </c>
      <c r="I1026" s="71" t="s">
        <v>1374</v>
      </c>
    </row>
    <row r="1027" spans="1:9" ht="43.5" x14ac:dyDescent="0.35">
      <c r="A1027" s="195">
        <v>7</v>
      </c>
      <c r="B1027" s="195">
        <v>77</v>
      </c>
      <c r="C1027" s="195" t="s">
        <v>1462</v>
      </c>
      <c r="D1027" s="64">
        <v>3370</v>
      </c>
      <c r="E1027" s="195" t="s">
        <v>373</v>
      </c>
      <c r="F1027" s="71" t="s">
        <v>367</v>
      </c>
      <c r="G1027" s="71" t="s">
        <v>1440</v>
      </c>
      <c r="H1027" s="71" t="s">
        <v>1407</v>
      </c>
      <c r="I1027" s="71" t="s">
        <v>1381</v>
      </c>
    </row>
    <row r="1028" spans="1:9" ht="43.5" x14ac:dyDescent="0.35">
      <c r="A1028" s="195">
        <v>7</v>
      </c>
      <c r="B1028" s="195">
        <v>78</v>
      </c>
      <c r="C1028" s="195" t="s">
        <v>1463</v>
      </c>
      <c r="D1028" s="64">
        <v>3525</v>
      </c>
      <c r="E1028" s="195" t="s">
        <v>373</v>
      </c>
      <c r="F1028" s="71" t="s">
        <v>367</v>
      </c>
      <c r="G1028" s="71" t="s">
        <v>1440</v>
      </c>
      <c r="H1028" s="71" t="s">
        <v>1407</v>
      </c>
      <c r="I1028" s="71" t="s">
        <v>1383</v>
      </c>
    </row>
    <row r="1029" spans="1:9" ht="43.5" x14ac:dyDescent="0.35">
      <c r="A1029" s="195">
        <v>7</v>
      </c>
      <c r="B1029" s="195">
        <v>79</v>
      </c>
      <c r="C1029" s="195" t="s">
        <v>1464</v>
      </c>
      <c r="D1029" s="64">
        <v>3310</v>
      </c>
      <c r="E1029" s="195" t="s">
        <v>373</v>
      </c>
      <c r="F1029" s="71" t="s">
        <v>367</v>
      </c>
      <c r="G1029" s="71" t="s">
        <v>1440</v>
      </c>
      <c r="H1029" s="71" t="s">
        <v>1407</v>
      </c>
      <c r="I1029" s="71" t="s">
        <v>1385</v>
      </c>
    </row>
    <row r="1030" spans="1:9" ht="43.5" x14ac:dyDescent="0.35">
      <c r="A1030" s="195">
        <v>7</v>
      </c>
      <c r="B1030" s="195">
        <v>80</v>
      </c>
      <c r="C1030" s="195" t="s">
        <v>1465</v>
      </c>
      <c r="D1030" s="195">
        <v>0</v>
      </c>
      <c r="E1030" s="195" t="s">
        <v>373</v>
      </c>
      <c r="F1030" s="71" t="s">
        <v>367</v>
      </c>
      <c r="G1030" s="71" t="s">
        <v>1440</v>
      </c>
      <c r="H1030" s="71" t="s">
        <v>1407</v>
      </c>
      <c r="I1030" s="71" t="s">
        <v>1387</v>
      </c>
    </row>
    <row r="1031" spans="1:9" ht="43.5" x14ac:dyDescent="0.35">
      <c r="A1031" s="195">
        <v>7</v>
      </c>
      <c r="B1031" s="195">
        <v>81</v>
      </c>
      <c r="C1031" s="195" t="s">
        <v>1466</v>
      </c>
      <c r="D1031" s="64">
        <v>45000</v>
      </c>
      <c r="E1031" s="195" t="s">
        <v>366</v>
      </c>
      <c r="F1031" s="71" t="s">
        <v>367</v>
      </c>
      <c r="G1031" s="71" t="s">
        <v>1467</v>
      </c>
      <c r="H1031" s="71" t="s">
        <v>982</v>
      </c>
      <c r="I1031" s="71" t="s">
        <v>1374</v>
      </c>
    </row>
    <row r="1032" spans="1:9" ht="43.5" x14ac:dyDescent="0.35">
      <c r="A1032" s="195">
        <v>7</v>
      </c>
      <c r="B1032" s="195">
        <v>82</v>
      </c>
      <c r="C1032" s="195" t="s">
        <v>1468</v>
      </c>
      <c r="D1032" s="64">
        <v>6310</v>
      </c>
      <c r="E1032" s="195" t="s">
        <v>366</v>
      </c>
      <c r="F1032" s="71" t="s">
        <v>367</v>
      </c>
      <c r="G1032" s="71" t="s">
        <v>1467</v>
      </c>
      <c r="H1032" s="71" t="s">
        <v>1379</v>
      </c>
      <c r="I1032" s="71" t="s">
        <v>1374</v>
      </c>
    </row>
    <row r="1033" spans="1:9" ht="43.5" x14ac:dyDescent="0.35">
      <c r="A1033" s="195">
        <v>7</v>
      </c>
      <c r="B1033" s="195">
        <v>83</v>
      </c>
      <c r="C1033" s="195" t="s">
        <v>1469</v>
      </c>
      <c r="D1033" s="64">
        <v>4680</v>
      </c>
      <c r="E1033" s="195" t="s">
        <v>373</v>
      </c>
      <c r="F1033" s="71" t="s">
        <v>367</v>
      </c>
      <c r="G1033" s="71" t="s">
        <v>1467</v>
      </c>
      <c r="H1033" s="71" t="s">
        <v>1379</v>
      </c>
      <c r="I1033" s="71" t="s">
        <v>1381</v>
      </c>
    </row>
    <row r="1034" spans="1:9" ht="43.5" x14ac:dyDescent="0.35">
      <c r="A1034" s="195">
        <v>7</v>
      </c>
      <c r="B1034" s="195">
        <v>84</v>
      </c>
      <c r="C1034" s="195" t="s">
        <v>1470</v>
      </c>
      <c r="D1034" s="64">
        <v>1275</v>
      </c>
      <c r="E1034" s="195" t="s">
        <v>373</v>
      </c>
      <c r="F1034" s="71" t="s">
        <v>367</v>
      </c>
      <c r="G1034" s="71" t="s">
        <v>1467</v>
      </c>
      <c r="H1034" s="71" t="s">
        <v>1379</v>
      </c>
      <c r="I1034" s="71" t="s">
        <v>1383</v>
      </c>
    </row>
    <row r="1035" spans="1:9" ht="43.5" x14ac:dyDescent="0.35">
      <c r="A1035" s="195">
        <v>7</v>
      </c>
      <c r="B1035" s="195">
        <v>85</v>
      </c>
      <c r="C1035" s="195" t="s">
        <v>1471</v>
      </c>
      <c r="D1035" s="64">
        <v>355</v>
      </c>
      <c r="E1035" s="195" t="s">
        <v>373</v>
      </c>
      <c r="F1035" s="71" t="s">
        <v>367</v>
      </c>
      <c r="G1035" s="71" t="s">
        <v>1467</v>
      </c>
      <c r="H1035" s="71" t="s">
        <v>1379</v>
      </c>
      <c r="I1035" s="71" t="s">
        <v>1385</v>
      </c>
    </row>
    <row r="1036" spans="1:9" ht="43.5" x14ac:dyDescent="0.35">
      <c r="A1036" s="195">
        <v>7</v>
      </c>
      <c r="B1036" s="195">
        <v>86</v>
      </c>
      <c r="C1036" s="195" t="s">
        <v>1472</v>
      </c>
      <c r="D1036" s="195">
        <v>0</v>
      </c>
      <c r="E1036" s="195" t="s">
        <v>373</v>
      </c>
      <c r="F1036" s="71" t="s">
        <v>367</v>
      </c>
      <c r="G1036" s="71" t="s">
        <v>1467</v>
      </c>
      <c r="H1036" s="71" t="s">
        <v>1379</v>
      </c>
      <c r="I1036" s="71" t="s">
        <v>1387</v>
      </c>
    </row>
    <row r="1037" spans="1:9" ht="58" x14ac:dyDescent="0.35">
      <c r="A1037" s="195">
        <v>7</v>
      </c>
      <c r="B1037" s="195">
        <v>87</v>
      </c>
      <c r="C1037" s="195" t="s">
        <v>1473</v>
      </c>
      <c r="D1037" s="64">
        <v>17745</v>
      </c>
      <c r="E1037" s="195" t="s">
        <v>366</v>
      </c>
      <c r="F1037" s="71" t="s">
        <v>367</v>
      </c>
      <c r="G1037" s="71" t="s">
        <v>1467</v>
      </c>
      <c r="H1037" s="71" t="s">
        <v>1389</v>
      </c>
      <c r="I1037" s="71" t="s">
        <v>1374</v>
      </c>
    </row>
    <row r="1038" spans="1:9" ht="58" x14ac:dyDescent="0.35">
      <c r="A1038" s="195">
        <v>7</v>
      </c>
      <c r="B1038" s="195">
        <v>88</v>
      </c>
      <c r="C1038" s="195" t="s">
        <v>1474</v>
      </c>
      <c r="D1038" s="64">
        <v>12020</v>
      </c>
      <c r="E1038" s="195" t="s">
        <v>373</v>
      </c>
      <c r="F1038" s="71" t="s">
        <v>367</v>
      </c>
      <c r="G1038" s="71" t="s">
        <v>1467</v>
      </c>
      <c r="H1038" s="71" t="s">
        <v>1389</v>
      </c>
      <c r="I1038" s="71" t="s">
        <v>1381</v>
      </c>
    </row>
    <row r="1039" spans="1:9" ht="58" x14ac:dyDescent="0.35">
      <c r="A1039" s="195">
        <v>7</v>
      </c>
      <c r="B1039" s="195">
        <v>89</v>
      </c>
      <c r="C1039" s="195" t="s">
        <v>1475</v>
      </c>
      <c r="D1039" s="64">
        <v>4645</v>
      </c>
      <c r="E1039" s="195" t="s">
        <v>373</v>
      </c>
      <c r="F1039" s="71" t="s">
        <v>367</v>
      </c>
      <c r="G1039" s="71" t="s">
        <v>1467</v>
      </c>
      <c r="H1039" s="71" t="s">
        <v>1389</v>
      </c>
      <c r="I1039" s="71" t="s">
        <v>1383</v>
      </c>
    </row>
    <row r="1040" spans="1:9" ht="58" x14ac:dyDescent="0.35">
      <c r="A1040" s="195">
        <v>7</v>
      </c>
      <c r="B1040" s="195">
        <v>90</v>
      </c>
      <c r="C1040" s="195" t="s">
        <v>1476</v>
      </c>
      <c r="D1040" s="64">
        <v>1080</v>
      </c>
      <c r="E1040" s="195" t="s">
        <v>373</v>
      </c>
      <c r="F1040" s="71" t="s">
        <v>367</v>
      </c>
      <c r="G1040" s="71" t="s">
        <v>1467</v>
      </c>
      <c r="H1040" s="71" t="s">
        <v>1389</v>
      </c>
      <c r="I1040" s="71" t="s">
        <v>1385</v>
      </c>
    </row>
    <row r="1041" spans="1:9" ht="58" x14ac:dyDescent="0.35">
      <c r="A1041" s="195">
        <v>7</v>
      </c>
      <c r="B1041" s="195">
        <v>91</v>
      </c>
      <c r="C1041" s="195" t="s">
        <v>1477</v>
      </c>
      <c r="D1041" s="195">
        <v>0</v>
      </c>
      <c r="E1041" s="195" t="s">
        <v>373</v>
      </c>
      <c r="F1041" s="71" t="s">
        <v>367</v>
      </c>
      <c r="G1041" s="71" t="s">
        <v>1467</v>
      </c>
      <c r="H1041" s="71" t="s">
        <v>1389</v>
      </c>
      <c r="I1041" s="71" t="s">
        <v>1387</v>
      </c>
    </row>
    <row r="1042" spans="1:9" ht="43.5" x14ac:dyDescent="0.35">
      <c r="A1042" s="195">
        <v>7</v>
      </c>
      <c r="B1042" s="195">
        <v>92</v>
      </c>
      <c r="C1042" s="195" t="s">
        <v>1478</v>
      </c>
      <c r="D1042" s="64">
        <v>6875</v>
      </c>
      <c r="E1042" s="195" t="s">
        <v>366</v>
      </c>
      <c r="F1042" s="71" t="s">
        <v>367</v>
      </c>
      <c r="G1042" s="71" t="s">
        <v>1467</v>
      </c>
      <c r="H1042" s="71" t="s">
        <v>1395</v>
      </c>
      <c r="I1042" s="71" t="s">
        <v>1374</v>
      </c>
    </row>
    <row r="1043" spans="1:9" ht="43.5" x14ac:dyDescent="0.35">
      <c r="A1043" s="195">
        <v>7</v>
      </c>
      <c r="B1043" s="195">
        <v>93</v>
      </c>
      <c r="C1043" s="195" t="s">
        <v>1479</v>
      </c>
      <c r="D1043" s="64">
        <v>5460</v>
      </c>
      <c r="E1043" s="195" t="s">
        <v>373</v>
      </c>
      <c r="F1043" s="71" t="s">
        <v>367</v>
      </c>
      <c r="G1043" s="71" t="s">
        <v>1467</v>
      </c>
      <c r="H1043" s="71" t="s">
        <v>1395</v>
      </c>
      <c r="I1043" s="71" t="s">
        <v>1381</v>
      </c>
    </row>
    <row r="1044" spans="1:9" ht="43.5" x14ac:dyDescent="0.35">
      <c r="A1044" s="195">
        <v>7</v>
      </c>
      <c r="B1044" s="195">
        <v>94</v>
      </c>
      <c r="C1044" s="195" t="s">
        <v>1480</v>
      </c>
      <c r="D1044" s="64">
        <v>1225</v>
      </c>
      <c r="E1044" s="195" t="s">
        <v>373</v>
      </c>
      <c r="F1044" s="71" t="s">
        <v>367</v>
      </c>
      <c r="G1044" s="71" t="s">
        <v>1467</v>
      </c>
      <c r="H1044" s="71" t="s">
        <v>1395</v>
      </c>
      <c r="I1044" s="71" t="s">
        <v>1383</v>
      </c>
    </row>
    <row r="1045" spans="1:9" ht="43.5" x14ac:dyDescent="0.35">
      <c r="A1045" s="195">
        <v>7</v>
      </c>
      <c r="B1045" s="195">
        <v>95</v>
      </c>
      <c r="C1045" s="195" t="s">
        <v>1481</v>
      </c>
      <c r="D1045" s="195">
        <v>195</v>
      </c>
      <c r="E1045" s="195" t="s">
        <v>373</v>
      </c>
      <c r="F1045" s="71" t="s">
        <v>367</v>
      </c>
      <c r="G1045" s="71" t="s">
        <v>1467</v>
      </c>
      <c r="H1045" s="71" t="s">
        <v>1395</v>
      </c>
      <c r="I1045" s="71" t="s">
        <v>1385</v>
      </c>
    </row>
    <row r="1046" spans="1:9" ht="43.5" x14ac:dyDescent="0.35">
      <c r="A1046" s="195">
        <v>7</v>
      </c>
      <c r="B1046" s="195">
        <v>96</v>
      </c>
      <c r="C1046" s="195" t="s">
        <v>1482</v>
      </c>
      <c r="D1046" s="195">
        <v>0</v>
      </c>
      <c r="E1046" s="195" t="s">
        <v>373</v>
      </c>
      <c r="F1046" s="71" t="s">
        <v>367</v>
      </c>
      <c r="G1046" s="71" t="s">
        <v>1467</v>
      </c>
      <c r="H1046" s="71" t="s">
        <v>1395</v>
      </c>
      <c r="I1046" s="71" t="s">
        <v>1387</v>
      </c>
    </row>
    <row r="1047" spans="1:9" ht="43.5" x14ac:dyDescent="0.35">
      <c r="A1047" s="195">
        <v>7</v>
      </c>
      <c r="B1047" s="195">
        <v>97</v>
      </c>
      <c r="C1047" s="195" t="s">
        <v>1483</v>
      </c>
      <c r="D1047" s="64">
        <v>4825</v>
      </c>
      <c r="E1047" s="195" t="s">
        <v>366</v>
      </c>
      <c r="F1047" s="71" t="s">
        <v>367</v>
      </c>
      <c r="G1047" s="71" t="s">
        <v>1467</v>
      </c>
      <c r="H1047" s="71" t="s">
        <v>1401</v>
      </c>
      <c r="I1047" s="71" t="s">
        <v>1374</v>
      </c>
    </row>
    <row r="1048" spans="1:9" ht="43.5" x14ac:dyDescent="0.35">
      <c r="A1048" s="195">
        <v>7</v>
      </c>
      <c r="B1048" s="195">
        <v>98</v>
      </c>
      <c r="C1048" s="195" t="s">
        <v>1484</v>
      </c>
      <c r="D1048" s="64">
        <v>3455</v>
      </c>
      <c r="E1048" s="195" t="s">
        <v>373</v>
      </c>
      <c r="F1048" s="71" t="s">
        <v>367</v>
      </c>
      <c r="G1048" s="71" t="s">
        <v>1467</v>
      </c>
      <c r="H1048" s="71" t="s">
        <v>1401</v>
      </c>
      <c r="I1048" s="71" t="s">
        <v>1381</v>
      </c>
    </row>
    <row r="1049" spans="1:9" ht="43.5" x14ac:dyDescent="0.35">
      <c r="A1049" s="195">
        <v>7</v>
      </c>
      <c r="B1049" s="195">
        <v>99</v>
      </c>
      <c r="C1049" s="195" t="s">
        <v>1485</v>
      </c>
      <c r="D1049" s="64">
        <v>925</v>
      </c>
      <c r="E1049" s="195" t="s">
        <v>373</v>
      </c>
      <c r="F1049" s="71" t="s">
        <v>367</v>
      </c>
      <c r="G1049" s="71" t="s">
        <v>1467</v>
      </c>
      <c r="H1049" s="71" t="s">
        <v>1401</v>
      </c>
      <c r="I1049" s="71" t="s">
        <v>1383</v>
      </c>
    </row>
    <row r="1050" spans="1:9" ht="43.5" x14ac:dyDescent="0.35">
      <c r="A1050" s="195">
        <v>7</v>
      </c>
      <c r="B1050" s="195">
        <v>100</v>
      </c>
      <c r="C1050" s="195" t="s">
        <v>1486</v>
      </c>
      <c r="D1050" s="195">
        <v>445</v>
      </c>
      <c r="E1050" s="195" t="s">
        <v>373</v>
      </c>
      <c r="F1050" s="71" t="s">
        <v>367</v>
      </c>
      <c r="G1050" s="71" t="s">
        <v>1467</v>
      </c>
      <c r="H1050" s="71" t="s">
        <v>1401</v>
      </c>
      <c r="I1050" s="71" t="s">
        <v>1385</v>
      </c>
    </row>
    <row r="1051" spans="1:9" ht="43.5" x14ac:dyDescent="0.35">
      <c r="A1051" s="195">
        <v>7</v>
      </c>
      <c r="B1051" s="195">
        <v>101</v>
      </c>
      <c r="C1051" s="195" t="s">
        <v>1487</v>
      </c>
      <c r="D1051" s="195">
        <v>0</v>
      </c>
      <c r="E1051" s="195" t="s">
        <v>373</v>
      </c>
      <c r="F1051" s="71" t="s">
        <v>367</v>
      </c>
      <c r="G1051" s="71" t="s">
        <v>1467</v>
      </c>
      <c r="H1051" s="71" t="s">
        <v>1401</v>
      </c>
      <c r="I1051" s="71" t="s">
        <v>1387</v>
      </c>
    </row>
    <row r="1052" spans="1:9" ht="43.5" x14ac:dyDescent="0.35">
      <c r="A1052" s="195">
        <v>7</v>
      </c>
      <c r="B1052" s="195">
        <v>102</v>
      </c>
      <c r="C1052" s="195" t="s">
        <v>1488</v>
      </c>
      <c r="D1052" s="64">
        <v>9245</v>
      </c>
      <c r="E1052" s="195" t="s">
        <v>366</v>
      </c>
      <c r="F1052" s="71" t="s">
        <v>367</v>
      </c>
      <c r="G1052" s="71" t="s">
        <v>1467</v>
      </c>
      <c r="H1052" s="71" t="s">
        <v>1407</v>
      </c>
      <c r="I1052" s="71" t="s">
        <v>1374</v>
      </c>
    </row>
    <row r="1053" spans="1:9" ht="43.5" x14ac:dyDescent="0.35">
      <c r="A1053" s="195">
        <v>7</v>
      </c>
      <c r="B1053" s="195">
        <v>103</v>
      </c>
      <c r="C1053" s="195" t="s">
        <v>1489</v>
      </c>
      <c r="D1053" s="64">
        <v>4250</v>
      </c>
      <c r="E1053" s="195" t="s">
        <v>373</v>
      </c>
      <c r="F1053" s="71" t="s">
        <v>367</v>
      </c>
      <c r="G1053" s="71" t="s">
        <v>1467</v>
      </c>
      <c r="H1053" s="71" t="s">
        <v>1407</v>
      </c>
      <c r="I1053" s="71" t="s">
        <v>1381</v>
      </c>
    </row>
    <row r="1054" spans="1:9" ht="43.5" x14ac:dyDescent="0.35">
      <c r="A1054" s="195">
        <v>7</v>
      </c>
      <c r="B1054" s="195">
        <v>104</v>
      </c>
      <c r="C1054" s="195" t="s">
        <v>1490</v>
      </c>
      <c r="D1054" s="64">
        <v>3830</v>
      </c>
      <c r="E1054" s="195" t="s">
        <v>373</v>
      </c>
      <c r="F1054" s="71" t="s">
        <v>367</v>
      </c>
      <c r="G1054" s="71" t="s">
        <v>1467</v>
      </c>
      <c r="H1054" s="71" t="s">
        <v>1407</v>
      </c>
      <c r="I1054" s="71" t="s">
        <v>1383</v>
      </c>
    </row>
    <row r="1055" spans="1:9" ht="43.5" x14ac:dyDescent="0.35">
      <c r="A1055" s="195">
        <v>7</v>
      </c>
      <c r="B1055" s="195">
        <v>105</v>
      </c>
      <c r="C1055" s="195" t="s">
        <v>1491</v>
      </c>
      <c r="D1055" s="64">
        <v>1165</v>
      </c>
      <c r="E1055" s="195" t="s">
        <v>373</v>
      </c>
      <c r="F1055" s="71" t="s">
        <v>367</v>
      </c>
      <c r="G1055" s="71" t="s">
        <v>1467</v>
      </c>
      <c r="H1055" s="71" t="s">
        <v>1407</v>
      </c>
      <c r="I1055" s="71" t="s">
        <v>1385</v>
      </c>
    </row>
    <row r="1056" spans="1:9" ht="43.5" x14ac:dyDescent="0.35">
      <c r="A1056" s="195">
        <v>7</v>
      </c>
      <c r="B1056" s="195">
        <v>106</v>
      </c>
      <c r="C1056" s="195" t="s">
        <v>1492</v>
      </c>
      <c r="D1056" s="195">
        <v>0</v>
      </c>
      <c r="E1056" s="195" t="s">
        <v>373</v>
      </c>
      <c r="F1056" s="71" t="s">
        <v>367</v>
      </c>
      <c r="G1056" s="71" t="s">
        <v>1467</v>
      </c>
      <c r="H1056" s="71" t="s">
        <v>1407</v>
      </c>
      <c r="I1056" s="71" t="s">
        <v>1387</v>
      </c>
    </row>
    <row r="1057" spans="1:9" ht="43.5" x14ac:dyDescent="0.35">
      <c r="A1057" s="195">
        <v>7</v>
      </c>
      <c r="B1057" s="195">
        <v>107</v>
      </c>
      <c r="C1057" s="195" t="s">
        <v>1493</v>
      </c>
      <c r="D1057" s="64">
        <v>243530</v>
      </c>
      <c r="E1057" s="195" t="s">
        <v>366</v>
      </c>
      <c r="F1057" s="71" t="s">
        <v>367</v>
      </c>
      <c r="G1057" s="71" t="s">
        <v>1494</v>
      </c>
      <c r="H1057" s="71" t="s">
        <v>982</v>
      </c>
      <c r="I1057" s="71" t="s">
        <v>1374</v>
      </c>
    </row>
    <row r="1058" spans="1:9" ht="43.5" x14ac:dyDescent="0.35">
      <c r="A1058" s="195">
        <v>7</v>
      </c>
      <c r="B1058" s="195">
        <v>108</v>
      </c>
      <c r="C1058" s="195" t="s">
        <v>1495</v>
      </c>
      <c r="D1058" s="64">
        <v>27795</v>
      </c>
      <c r="E1058" s="195" t="s">
        <v>366</v>
      </c>
      <c r="F1058" s="71" t="s">
        <v>367</v>
      </c>
      <c r="G1058" s="71" t="s">
        <v>1494</v>
      </c>
      <c r="H1058" s="71" t="s">
        <v>1379</v>
      </c>
      <c r="I1058" s="71" t="s">
        <v>1374</v>
      </c>
    </row>
    <row r="1059" spans="1:9" ht="43.5" x14ac:dyDescent="0.35">
      <c r="A1059" s="195">
        <v>7</v>
      </c>
      <c r="B1059" s="195">
        <v>109</v>
      </c>
      <c r="C1059" s="195" t="s">
        <v>1496</v>
      </c>
      <c r="D1059" s="64">
        <v>25320</v>
      </c>
      <c r="E1059" s="195" t="s">
        <v>373</v>
      </c>
      <c r="F1059" s="71" t="s">
        <v>367</v>
      </c>
      <c r="G1059" s="71" t="s">
        <v>1494</v>
      </c>
      <c r="H1059" s="71" t="s">
        <v>1379</v>
      </c>
      <c r="I1059" s="71" t="s">
        <v>1381</v>
      </c>
    </row>
    <row r="1060" spans="1:9" ht="43.5" x14ac:dyDescent="0.35">
      <c r="A1060" s="195">
        <v>7</v>
      </c>
      <c r="B1060" s="195">
        <v>110</v>
      </c>
      <c r="C1060" s="195" t="s">
        <v>1497</v>
      </c>
      <c r="D1060" s="64">
        <v>2095</v>
      </c>
      <c r="E1060" s="195" t="s">
        <v>373</v>
      </c>
      <c r="F1060" s="71" t="s">
        <v>367</v>
      </c>
      <c r="G1060" s="71" t="s">
        <v>1494</v>
      </c>
      <c r="H1060" s="71" t="s">
        <v>1379</v>
      </c>
      <c r="I1060" s="71" t="s">
        <v>1383</v>
      </c>
    </row>
    <row r="1061" spans="1:9" ht="43.5" x14ac:dyDescent="0.35">
      <c r="A1061" s="195">
        <v>7</v>
      </c>
      <c r="B1061" s="195">
        <v>111</v>
      </c>
      <c r="C1061" s="195" t="s">
        <v>1498</v>
      </c>
      <c r="D1061" s="64">
        <v>380</v>
      </c>
      <c r="E1061" s="195" t="s">
        <v>373</v>
      </c>
      <c r="F1061" s="71" t="s">
        <v>367</v>
      </c>
      <c r="G1061" s="71" t="s">
        <v>1494</v>
      </c>
      <c r="H1061" s="71" t="s">
        <v>1379</v>
      </c>
      <c r="I1061" s="71" t="s">
        <v>1385</v>
      </c>
    </row>
    <row r="1062" spans="1:9" ht="43.5" x14ac:dyDescent="0.35">
      <c r="A1062" s="195">
        <v>7</v>
      </c>
      <c r="B1062" s="195">
        <v>112</v>
      </c>
      <c r="C1062" s="195" t="s">
        <v>1499</v>
      </c>
      <c r="D1062" s="195">
        <v>0</v>
      </c>
      <c r="E1062" s="195" t="s">
        <v>373</v>
      </c>
      <c r="F1062" s="71" t="s">
        <v>367</v>
      </c>
      <c r="G1062" s="71" t="s">
        <v>1494</v>
      </c>
      <c r="H1062" s="71" t="s">
        <v>1379</v>
      </c>
      <c r="I1062" s="71" t="s">
        <v>1387</v>
      </c>
    </row>
    <row r="1063" spans="1:9" ht="58" x14ac:dyDescent="0.35">
      <c r="A1063" s="195">
        <v>7</v>
      </c>
      <c r="B1063" s="195">
        <v>113</v>
      </c>
      <c r="C1063" s="195" t="s">
        <v>1500</v>
      </c>
      <c r="D1063" s="64">
        <v>118320</v>
      </c>
      <c r="E1063" s="195" t="s">
        <v>366</v>
      </c>
      <c r="F1063" s="71" t="s">
        <v>367</v>
      </c>
      <c r="G1063" s="71" t="s">
        <v>1494</v>
      </c>
      <c r="H1063" s="71" t="s">
        <v>1389</v>
      </c>
      <c r="I1063" s="71" t="s">
        <v>1374</v>
      </c>
    </row>
    <row r="1064" spans="1:9" ht="58" x14ac:dyDescent="0.35">
      <c r="A1064" s="195">
        <v>7</v>
      </c>
      <c r="B1064" s="195">
        <v>114</v>
      </c>
      <c r="C1064" s="195" t="s">
        <v>1501</v>
      </c>
      <c r="D1064" s="64">
        <v>108640</v>
      </c>
      <c r="E1064" s="195" t="s">
        <v>373</v>
      </c>
      <c r="F1064" s="71" t="s">
        <v>367</v>
      </c>
      <c r="G1064" s="71" t="s">
        <v>1494</v>
      </c>
      <c r="H1064" s="71" t="s">
        <v>1389</v>
      </c>
      <c r="I1064" s="71" t="s">
        <v>1381</v>
      </c>
    </row>
    <row r="1065" spans="1:9" ht="58" x14ac:dyDescent="0.35">
      <c r="A1065" s="195">
        <v>7</v>
      </c>
      <c r="B1065" s="195">
        <v>115</v>
      </c>
      <c r="C1065" s="195" t="s">
        <v>1502</v>
      </c>
      <c r="D1065" s="64">
        <v>8635</v>
      </c>
      <c r="E1065" s="195" t="s">
        <v>373</v>
      </c>
      <c r="F1065" s="71" t="s">
        <v>367</v>
      </c>
      <c r="G1065" s="71" t="s">
        <v>1494</v>
      </c>
      <c r="H1065" s="71" t="s">
        <v>1389</v>
      </c>
      <c r="I1065" s="71" t="s">
        <v>1383</v>
      </c>
    </row>
    <row r="1066" spans="1:9" ht="58" x14ac:dyDescent="0.35">
      <c r="A1066" s="195">
        <v>7</v>
      </c>
      <c r="B1066" s="195">
        <v>116</v>
      </c>
      <c r="C1066" s="195" t="s">
        <v>1503</v>
      </c>
      <c r="D1066" s="64">
        <v>1045</v>
      </c>
      <c r="E1066" s="195" t="s">
        <v>373</v>
      </c>
      <c r="F1066" s="71" t="s">
        <v>367</v>
      </c>
      <c r="G1066" s="71" t="s">
        <v>1494</v>
      </c>
      <c r="H1066" s="71" t="s">
        <v>1389</v>
      </c>
      <c r="I1066" s="71" t="s">
        <v>1385</v>
      </c>
    </row>
    <row r="1067" spans="1:9" ht="58" x14ac:dyDescent="0.35">
      <c r="A1067" s="195">
        <v>7</v>
      </c>
      <c r="B1067" s="195">
        <v>117</v>
      </c>
      <c r="C1067" s="195" t="s">
        <v>1504</v>
      </c>
      <c r="D1067" s="195">
        <v>0</v>
      </c>
      <c r="E1067" s="195" t="s">
        <v>373</v>
      </c>
      <c r="F1067" s="71" t="s">
        <v>367</v>
      </c>
      <c r="G1067" s="71" t="s">
        <v>1494</v>
      </c>
      <c r="H1067" s="71" t="s">
        <v>1389</v>
      </c>
      <c r="I1067" s="71" t="s">
        <v>1387</v>
      </c>
    </row>
    <row r="1068" spans="1:9" ht="43.5" x14ac:dyDescent="0.35">
      <c r="A1068" s="195">
        <v>7</v>
      </c>
      <c r="B1068" s="195">
        <v>118</v>
      </c>
      <c r="C1068" s="195" t="s">
        <v>1505</v>
      </c>
      <c r="D1068" s="64">
        <v>22650</v>
      </c>
      <c r="E1068" s="195" t="s">
        <v>366</v>
      </c>
      <c r="F1068" s="71" t="s">
        <v>367</v>
      </c>
      <c r="G1068" s="71" t="s">
        <v>1494</v>
      </c>
      <c r="H1068" s="71" t="s">
        <v>1395</v>
      </c>
      <c r="I1068" s="71" t="s">
        <v>1374</v>
      </c>
    </row>
    <row r="1069" spans="1:9" ht="43.5" x14ac:dyDescent="0.35">
      <c r="A1069" s="195">
        <v>7</v>
      </c>
      <c r="B1069" s="195">
        <v>119</v>
      </c>
      <c r="C1069" s="195" t="s">
        <v>1506</v>
      </c>
      <c r="D1069" s="64">
        <v>21385</v>
      </c>
      <c r="E1069" s="195" t="s">
        <v>373</v>
      </c>
      <c r="F1069" s="71" t="s">
        <v>367</v>
      </c>
      <c r="G1069" s="71" t="s">
        <v>1494</v>
      </c>
      <c r="H1069" s="71" t="s">
        <v>1395</v>
      </c>
      <c r="I1069" s="71" t="s">
        <v>1381</v>
      </c>
    </row>
    <row r="1070" spans="1:9" ht="43.5" x14ac:dyDescent="0.35">
      <c r="A1070" s="195">
        <v>7</v>
      </c>
      <c r="B1070" s="195">
        <v>120</v>
      </c>
      <c r="C1070" s="195" t="s">
        <v>1507</v>
      </c>
      <c r="D1070" s="64">
        <v>1105</v>
      </c>
      <c r="E1070" s="195" t="s">
        <v>373</v>
      </c>
      <c r="F1070" s="71" t="s">
        <v>367</v>
      </c>
      <c r="G1070" s="71" t="s">
        <v>1494</v>
      </c>
      <c r="H1070" s="71" t="s">
        <v>1395</v>
      </c>
      <c r="I1070" s="71" t="s">
        <v>1383</v>
      </c>
    </row>
    <row r="1071" spans="1:9" ht="43.5" x14ac:dyDescent="0.35">
      <c r="A1071" s="195">
        <v>7</v>
      </c>
      <c r="B1071" s="195">
        <v>121</v>
      </c>
      <c r="C1071" s="195" t="s">
        <v>1508</v>
      </c>
      <c r="D1071" s="195">
        <v>165</v>
      </c>
      <c r="E1071" s="195" t="s">
        <v>373</v>
      </c>
      <c r="F1071" s="71" t="s">
        <v>367</v>
      </c>
      <c r="G1071" s="71" t="s">
        <v>1494</v>
      </c>
      <c r="H1071" s="71" t="s">
        <v>1395</v>
      </c>
      <c r="I1071" s="71" t="s">
        <v>1385</v>
      </c>
    </row>
    <row r="1072" spans="1:9" ht="43.5" x14ac:dyDescent="0.35">
      <c r="A1072" s="195">
        <v>7</v>
      </c>
      <c r="B1072" s="195">
        <v>122</v>
      </c>
      <c r="C1072" s="195" t="s">
        <v>1509</v>
      </c>
      <c r="D1072" s="195">
        <v>0</v>
      </c>
      <c r="E1072" s="195" t="s">
        <v>373</v>
      </c>
      <c r="F1072" s="71" t="s">
        <v>367</v>
      </c>
      <c r="G1072" s="71" t="s">
        <v>1494</v>
      </c>
      <c r="H1072" s="71" t="s">
        <v>1395</v>
      </c>
      <c r="I1072" s="71" t="s">
        <v>1387</v>
      </c>
    </row>
    <row r="1073" spans="1:9" ht="43.5" x14ac:dyDescent="0.35">
      <c r="A1073" s="195">
        <v>7</v>
      </c>
      <c r="B1073" s="195">
        <v>123</v>
      </c>
      <c r="C1073" s="195" t="s">
        <v>1510</v>
      </c>
      <c r="D1073" s="64">
        <v>15360</v>
      </c>
      <c r="E1073" s="195" t="s">
        <v>366</v>
      </c>
      <c r="F1073" s="71" t="s">
        <v>367</v>
      </c>
      <c r="G1073" s="71" t="s">
        <v>1494</v>
      </c>
      <c r="H1073" s="71" t="s">
        <v>1401</v>
      </c>
      <c r="I1073" s="71" t="s">
        <v>1374</v>
      </c>
    </row>
    <row r="1074" spans="1:9" ht="43.5" x14ac:dyDescent="0.35">
      <c r="A1074" s="195">
        <v>7</v>
      </c>
      <c r="B1074" s="195">
        <v>124</v>
      </c>
      <c r="C1074" s="195" t="s">
        <v>1511</v>
      </c>
      <c r="D1074" s="64">
        <v>13165</v>
      </c>
      <c r="E1074" s="195" t="s">
        <v>373</v>
      </c>
      <c r="F1074" s="71" t="s">
        <v>367</v>
      </c>
      <c r="G1074" s="71" t="s">
        <v>1494</v>
      </c>
      <c r="H1074" s="71" t="s">
        <v>1401</v>
      </c>
      <c r="I1074" s="71" t="s">
        <v>1381</v>
      </c>
    </row>
    <row r="1075" spans="1:9" ht="43.5" x14ac:dyDescent="0.35">
      <c r="A1075" s="195">
        <v>7</v>
      </c>
      <c r="B1075" s="195">
        <v>125</v>
      </c>
      <c r="C1075" s="195" t="s">
        <v>1512</v>
      </c>
      <c r="D1075" s="64">
        <v>1865</v>
      </c>
      <c r="E1075" s="195" t="s">
        <v>373</v>
      </c>
      <c r="F1075" s="71" t="s">
        <v>367</v>
      </c>
      <c r="G1075" s="71" t="s">
        <v>1494</v>
      </c>
      <c r="H1075" s="71" t="s">
        <v>1401</v>
      </c>
      <c r="I1075" s="71" t="s">
        <v>1383</v>
      </c>
    </row>
    <row r="1076" spans="1:9" ht="43.5" x14ac:dyDescent="0.35">
      <c r="A1076" s="195">
        <v>7</v>
      </c>
      <c r="B1076" s="195">
        <v>126</v>
      </c>
      <c r="C1076" s="195" t="s">
        <v>1513</v>
      </c>
      <c r="D1076" s="195">
        <v>330</v>
      </c>
      <c r="E1076" s="195" t="s">
        <v>373</v>
      </c>
      <c r="F1076" s="71" t="s">
        <v>367</v>
      </c>
      <c r="G1076" s="71" t="s">
        <v>1494</v>
      </c>
      <c r="H1076" s="71" t="s">
        <v>1401</v>
      </c>
      <c r="I1076" s="71" t="s">
        <v>1385</v>
      </c>
    </row>
    <row r="1077" spans="1:9" ht="43.5" x14ac:dyDescent="0.35">
      <c r="A1077" s="195">
        <v>7</v>
      </c>
      <c r="B1077" s="195">
        <v>127</v>
      </c>
      <c r="C1077" s="195" t="s">
        <v>1514</v>
      </c>
      <c r="D1077" s="195">
        <v>0</v>
      </c>
      <c r="E1077" s="195" t="s">
        <v>373</v>
      </c>
      <c r="F1077" s="71" t="s">
        <v>367</v>
      </c>
      <c r="G1077" s="71" t="s">
        <v>1494</v>
      </c>
      <c r="H1077" s="71" t="s">
        <v>1401</v>
      </c>
      <c r="I1077" s="71" t="s">
        <v>1387</v>
      </c>
    </row>
    <row r="1078" spans="1:9" ht="43.5" x14ac:dyDescent="0.35">
      <c r="A1078" s="195">
        <v>7</v>
      </c>
      <c r="B1078" s="195">
        <v>128</v>
      </c>
      <c r="C1078" s="195" t="s">
        <v>1515</v>
      </c>
      <c r="D1078" s="64">
        <v>59410</v>
      </c>
      <c r="E1078" s="195" t="s">
        <v>366</v>
      </c>
      <c r="F1078" s="71" t="s">
        <v>367</v>
      </c>
      <c r="G1078" s="71" t="s">
        <v>1494</v>
      </c>
      <c r="H1078" s="71" t="s">
        <v>1407</v>
      </c>
      <c r="I1078" s="71" t="s">
        <v>1374</v>
      </c>
    </row>
    <row r="1079" spans="1:9" ht="43.5" x14ac:dyDescent="0.35">
      <c r="A1079" s="195">
        <v>7</v>
      </c>
      <c r="B1079" s="195">
        <v>129</v>
      </c>
      <c r="C1079" s="195" t="s">
        <v>1516</v>
      </c>
      <c r="D1079" s="64">
        <v>50000</v>
      </c>
      <c r="E1079" s="195" t="s">
        <v>373</v>
      </c>
      <c r="F1079" s="71" t="s">
        <v>367</v>
      </c>
      <c r="G1079" s="71" t="s">
        <v>1494</v>
      </c>
      <c r="H1079" s="71" t="s">
        <v>1407</v>
      </c>
      <c r="I1079" s="71" t="s">
        <v>1381</v>
      </c>
    </row>
    <row r="1080" spans="1:9" ht="43.5" x14ac:dyDescent="0.35">
      <c r="A1080" s="195">
        <v>7</v>
      </c>
      <c r="B1080" s="195">
        <v>130</v>
      </c>
      <c r="C1080" s="195" t="s">
        <v>1517</v>
      </c>
      <c r="D1080" s="64">
        <v>8210</v>
      </c>
      <c r="E1080" s="195" t="s">
        <v>373</v>
      </c>
      <c r="F1080" s="71" t="s">
        <v>367</v>
      </c>
      <c r="G1080" s="71" t="s">
        <v>1494</v>
      </c>
      <c r="H1080" s="71" t="s">
        <v>1407</v>
      </c>
      <c r="I1080" s="71" t="s">
        <v>1383</v>
      </c>
    </row>
    <row r="1081" spans="1:9" ht="43.5" x14ac:dyDescent="0.35">
      <c r="A1081" s="195">
        <v>7</v>
      </c>
      <c r="B1081" s="195">
        <v>131</v>
      </c>
      <c r="C1081" s="195" t="s">
        <v>1518</v>
      </c>
      <c r="D1081" s="64">
        <v>1200</v>
      </c>
      <c r="E1081" s="195" t="s">
        <v>373</v>
      </c>
      <c r="F1081" s="71" t="s">
        <v>367</v>
      </c>
      <c r="G1081" s="71" t="s">
        <v>1494</v>
      </c>
      <c r="H1081" s="71" t="s">
        <v>1407</v>
      </c>
      <c r="I1081" s="71" t="s">
        <v>1385</v>
      </c>
    </row>
    <row r="1082" spans="1:9" ht="43.5" x14ac:dyDescent="0.35">
      <c r="A1082" s="195">
        <v>7</v>
      </c>
      <c r="B1082" s="195">
        <v>132</v>
      </c>
      <c r="C1082" s="195" t="s">
        <v>1519</v>
      </c>
      <c r="D1082" s="195">
        <v>0</v>
      </c>
      <c r="E1082" s="195" t="s">
        <v>373</v>
      </c>
      <c r="F1082" s="71" t="s">
        <v>367</v>
      </c>
      <c r="G1082" s="71" t="s">
        <v>1494</v>
      </c>
      <c r="H1082" s="71" t="s">
        <v>1407</v>
      </c>
      <c r="I1082" s="71" t="s">
        <v>1387</v>
      </c>
    </row>
    <row r="1083" spans="1:9" x14ac:dyDescent="0.35">
      <c r="A1083" s="195">
        <v>7</v>
      </c>
      <c r="B1083" s="195">
        <v>133</v>
      </c>
      <c r="C1083" s="195" t="s">
        <v>1520</v>
      </c>
      <c r="D1083" s="64">
        <v>582690</v>
      </c>
      <c r="E1083" s="195" t="s">
        <v>366</v>
      </c>
      <c r="F1083" s="71" t="s">
        <v>508</v>
      </c>
      <c r="G1083" s="71" t="s">
        <v>363</v>
      </c>
      <c r="H1083" s="71" t="s">
        <v>982</v>
      </c>
      <c r="I1083" s="71" t="s">
        <v>1374</v>
      </c>
    </row>
    <row r="1084" spans="1:9" ht="43.5" x14ac:dyDescent="0.35">
      <c r="A1084" s="195">
        <v>7</v>
      </c>
      <c r="B1084" s="195">
        <v>134</v>
      </c>
      <c r="C1084" s="195" t="s">
        <v>1521</v>
      </c>
      <c r="D1084" s="64">
        <v>191440</v>
      </c>
      <c r="E1084" s="195" t="s">
        <v>366</v>
      </c>
      <c r="F1084" s="71" t="s">
        <v>508</v>
      </c>
      <c r="G1084" s="71" t="s">
        <v>1377</v>
      </c>
      <c r="H1084" s="71" t="s">
        <v>982</v>
      </c>
      <c r="I1084" s="71" t="s">
        <v>1374</v>
      </c>
    </row>
    <row r="1085" spans="1:9" ht="43.5" x14ac:dyDescent="0.35">
      <c r="A1085" s="195">
        <v>7</v>
      </c>
      <c r="B1085" s="195">
        <v>135</v>
      </c>
      <c r="C1085" s="195" t="s">
        <v>1522</v>
      </c>
      <c r="D1085" s="64">
        <v>8135</v>
      </c>
      <c r="E1085" s="195" t="s">
        <v>366</v>
      </c>
      <c r="F1085" s="71" t="s">
        <v>508</v>
      </c>
      <c r="G1085" s="71" t="s">
        <v>1377</v>
      </c>
      <c r="H1085" s="71" t="s">
        <v>1379</v>
      </c>
      <c r="I1085" s="71" t="s">
        <v>1374</v>
      </c>
    </row>
    <row r="1086" spans="1:9" ht="43.5" x14ac:dyDescent="0.35">
      <c r="A1086" s="195">
        <v>7</v>
      </c>
      <c r="B1086" s="195">
        <v>136</v>
      </c>
      <c r="C1086" s="195" t="s">
        <v>1523</v>
      </c>
      <c r="D1086" s="64">
        <v>1760</v>
      </c>
      <c r="E1086" s="195" t="s">
        <v>373</v>
      </c>
      <c r="F1086" s="71" t="s">
        <v>508</v>
      </c>
      <c r="G1086" s="71" t="s">
        <v>1377</v>
      </c>
      <c r="H1086" s="71" t="s">
        <v>1379</v>
      </c>
      <c r="I1086" s="71" t="s">
        <v>1381</v>
      </c>
    </row>
    <row r="1087" spans="1:9" ht="43.5" x14ac:dyDescent="0.35">
      <c r="A1087" s="195">
        <v>7</v>
      </c>
      <c r="B1087" s="195">
        <v>137</v>
      </c>
      <c r="C1087" s="195" t="s">
        <v>1524</v>
      </c>
      <c r="D1087" s="64">
        <v>1585</v>
      </c>
      <c r="E1087" s="195" t="s">
        <v>373</v>
      </c>
      <c r="F1087" s="71" t="s">
        <v>508</v>
      </c>
      <c r="G1087" s="71" t="s">
        <v>1377</v>
      </c>
      <c r="H1087" s="71" t="s">
        <v>1379</v>
      </c>
      <c r="I1087" s="71" t="s">
        <v>1383</v>
      </c>
    </row>
    <row r="1088" spans="1:9" ht="43.5" x14ac:dyDescent="0.35">
      <c r="A1088" s="195">
        <v>7</v>
      </c>
      <c r="B1088" s="195">
        <v>138</v>
      </c>
      <c r="C1088" s="195" t="s">
        <v>1525</v>
      </c>
      <c r="D1088" s="64">
        <v>4235</v>
      </c>
      <c r="E1088" s="195" t="s">
        <v>373</v>
      </c>
      <c r="F1088" s="71" t="s">
        <v>508</v>
      </c>
      <c r="G1088" s="71" t="s">
        <v>1377</v>
      </c>
      <c r="H1088" s="71" t="s">
        <v>1379</v>
      </c>
      <c r="I1088" s="71" t="s">
        <v>1385</v>
      </c>
    </row>
    <row r="1089" spans="1:9" ht="43.5" x14ac:dyDescent="0.35">
      <c r="A1089" s="195">
        <v>7</v>
      </c>
      <c r="B1089" s="195">
        <v>139</v>
      </c>
      <c r="C1089" s="195" t="s">
        <v>1526</v>
      </c>
      <c r="D1089" s="195">
        <v>555</v>
      </c>
      <c r="E1089" s="195" t="s">
        <v>373</v>
      </c>
      <c r="F1089" s="71" t="s">
        <v>508</v>
      </c>
      <c r="G1089" s="71" t="s">
        <v>1377</v>
      </c>
      <c r="H1089" s="71" t="s">
        <v>1379</v>
      </c>
      <c r="I1089" s="71" t="s">
        <v>1387</v>
      </c>
    </row>
    <row r="1090" spans="1:9" ht="58" x14ac:dyDescent="0.35">
      <c r="A1090" s="195">
        <v>7</v>
      </c>
      <c r="B1090" s="195">
        <v>140</v>
      </c>
      <c r="C1090" s="195" t="s">
        <v>1527</v>
      </c>
      <c r="D1090" s="64">
        <v>57835</v>
      </c>
      <c r="E1090" s="195" t="s">
        <v>366</v>
      </c>
      <c r="F1090" s="71" t="s">
        <v>508</v>
      </c>
      <c r="G1090" s="71" t="s">
        <v>1377</v>
      </c>
      <c r="H1090" s="71" t="s">
        <v>1389</v>
      </c>
      <c r="I1090" s="71" t="s">
        <v>1374</v>
      </c>
    </row>
    <row r="1091" spans="1:9" ht="58" x14ac:dyDescent="0.35">
      <c r="A1091" s="195">
        <v>7</v>
      </c>
      <c r="B1091" s="195">
        <v>141</v>
      </c>
      <c r="C1091" s="195" t="s">
        <v>1528</v>
      </c>
      <c r="D1091" s="64">
        <v>5255</v>
      </c>
      <c r="E1091" s="195" t="s">
        <v>373</v>
      </c>
      <c r="F1091" s="71" t="s">
        <v>508</v>
      </c>
      <c r="G1091" s="71" t="s">
        <v>1377</v>
      </c>
      <c r="H1091" s="71" t="s">
        <v>1389</v>
      </c>
      <c r="I1091" s="71" t="s">
        <v>1381</v>
      </c>
    </row>
    <row r="1092" spans="1:9" ht="58" x14ac:dyDescent="0.35">
      <c r="A1092" s="195">
        <v>7</v>
      </c>
      <c r="B1092" s="195">
        <v>142</v>
      </c>
      <c r="C1092" s="195" t="s">
        <v>1529</v>
      </c>
      <c r="D1092" s="64">
        <v>8735</v>
      </c>
      <c r="E1092" s="195" t="s">
        <v>373</v>
      </c>
      <c r="F1092" s="71" t="s">
        <v>508</v>
      </c>
      <c r="G1092" s="71" t="s">
        <v>1377</v>
      </c>
      <c r="H1092" s="71" t="s">
        <v>1389</v>
      </c>
      <c r="I1092" s="71" t="s">
        <v>1383</v>
      </c>
    </row>
    <row r="1093" spans="1:9" ht="58" x14ac:dyDescent="0.35">
      <c r="A1093" s="195">
        <v>7</v>
      </c>
      <c r="B1093" s="195">
        <v>143</v>
      </c>
      <c r="C1093" s="195" t="s">
        <v>1530</v>
      </c>
      <c r="D1093" s="64">
        <v>37710</v>
      </c>
      <c r="E1093" s="195" t="s">
        <v>373</v>
      </c>
      <c r="F1093" s="71" t="s">
        <v>508</v>
      </c>
      <c r="G1093" s="71" t="s">
        <v>1377</v>
      </c>
      <c r="H1093" s="71" t="s">
        <v>1389</v>
      </c>
      <c r="I1093" s="71" t="s">
        <v>1385</v>
      </c>
    </row>
    <row r="1094" spans="1:9" ht="58" x14ac:dyDescent="0.35">
      <c r="A1094" s="195">
        <v>7</v>
      </c>
      <c r="B1094" s="195">
        <v>144</v>
      </c>
      <c r="C1094" s="195" t="s">
        <v>1531</v>
      </c>
      <c r="D1094" s="64">
        <v>6135</v>
      </c>
      <c r="E1094" s="195" t="s">
        <v>373</v>
      </c>
      <c r="F1094" s="71" t="s">
        <v>508</v>
      </c>
      <c r="G1094" s="71" t="s">
        <v>1377</v>
      </c>
      <c r="H1094" s="71" t="s">
        <v>1389</v>
      </c>
      <c r="I1094" s="71" t="s">
        <v>1387</v>
      </c>
    </row>
    <row r="1095" spans="1:9" ht="43.5" x14ac:dyDescent="0.35">
      <c r="A1095" s="195">
        <v>7</v>
      </c>
      <c r="B1095" s="195">
        <v>145</v>
      </c>
      <c r="C1095" s="195" t="s">
        <v>1532</v>
      </c>
      <c r="D1095" s="64">
        <v>18050</v>
      </c>
      <c r="E1095" s="195" t="s">
        <v>366</v>
      </c>
      <c r="F1095" s="71" t="s">
        <v>508</v>
      </c>
      <c r="G1095" s="71" t="s">
        <v>1377</v>
      </c>
      <c r="H1095" s="71" t="s">
        <v>1395</v>
      </c>
      <c r="I1095" s="71" t="s">
        <v>1374</v>
      </c>
    </row>
    <row r="1096" spans="1:9" ht="43.5" x14ac:dyDescent="0.35">
      <c r="A1096" s="195">
        <v>7</v>
      </c>
      <c r="B1096" s="195">
        <v>146</v>
      </c>
      <c r="C1096" s="195" t="s">
        <v>1533</v>
      </c>
      <c r="D1096" s="64">
        <v>1585</v>
      </c>
      <c r="E1096" s="195" t="s">
        <v>373</v>
      </c>
      <c r="F1096" s="71" t="s">
        <v>508</v>
      </c>
      <c r="G1096" s="71" t="s">
        <v>1377</v>
      </c>
      <c r="H1096" s="71" t="s">
        <v>1395</v>
      </c>
      <c r="I1096" s="71" t="s">
        <v>1381</v>
      </c>
    </row>
    <row r="1097" spans="1:9" ht="43.5" x14ac:dyDescent="0.35">
      <c r="A1097" s="195">
        <v>7</v>
      </c>
      <c r="B1097" s="195">
        <v>147</v>
      </c>
      <c r="C1097" s="195" t="s">
        <v>1534</v>
      </c>
      <c r="D1097" s="64">
        <v>3850</v>
      </c>
      <c r="E1097" s="195" t="s">
        <v>373</v>
      </c>
      <c r="F1097" s="71" t="s">
        <v>508</v>
      </c>
      <c r="G1097" s="71" t="s">
        <v>1377</v>
      </c>
      <c r="H1097" s="71" t="s">
        <v>1395</v>
      </c>
      <c r="I1097" s="71" t="s">
        <v>1383</v>
      </c>
    </row>
    <row r="1098" spans="1:9" ht="43.5" x14ac:dyDescent="0.35">
      <c r="A1098" s="195">
        <v>7</v>
      </c>
      <c r="B1098" s="195">
        <v>148</v>
      </c>
      <c r="C1098" s="195" t="s">
        <v>1535</v>
      </c>
      <c r="D1098" s="64">
        <v>11690</v>
      </c>
      <c r="E1098" s="195" t="s">
        <v>373</v>
      </c>
      <c r="F1098" s="71" t="s">
        <v>508</v>
      </c>
      <c r="G1098" s="71" t="s">
        <v>1377</v>
      </c>
      <c r="H1098" s="71" t="s">
        <v>1395</v>
      </c>
      <c r="I1098" s="71" t="s">
        <v>1385</v>
      </c>
    </row>
    <row r="1099" spans="1:9" ht="43.5" x14ac:dyDescent="0.35">
      <c r="A1099" s="195">
        <v>7</v>
      </c>
      <c r="B1099" s="195">
        <v>149</v>
      </c>
      <c r="C1099" s="195" t="s">
        <v>1536</v>
      </c>
      <c r="D1099" s="64">
        <v>930</v>
      </c>
      <c r="E1099" s="195" t="s">
        <v>373</v>
      </c>
      <c r="F1099" s="71" t="s">
        <v>508</v>
      </c>
      <c r="G1099" s="71" t="s">
        <v>1377</v>
      </c>
      <c r="H1099" s="71" t="s">
        <v>1395</v>
      </c>
      <c r="I1099" s="71" t="s">
        <v>1387</v>
      </c>
    </row>
    <row r="1100" spans="1:9" ht="43.5" x14ac:dyDescent="0.35">
      <c r="A1100" s="195">
        <v>7</v>
      </c>
      <c r="B1100" s="195">
        <v>150</v>
      </c>
      <c r="C1100" s="195" t="s">
        <v>1537</v>
      </c>
      <c r="D1100" s="64">
        <v>40815</v>
      </c>
      <c r="E1100" s="195" t="s">
        <v>366</v>
      </c>
      <c r="F1100" s="71" t="s">
        <v>508</v>
      </c>
      <c r="G1100" s="71" t="s">
        <v>1377</v>
      </c>
      <c r="H1100" s="71" t="s">
        <v>1401</v>
      </c>
      <c r="I1100" s="71" t="s">
        <v>1374</v>
      </c>
    </row>
    <row r="1101" spans="1:9" ht="43.5" x14ac:dyDescent="0.35">
      <c r="A1101" s="195">
        <v>7</v>
      </c>
      <c r="B1101" s="195">
        <v>151</v>
      </c>
      <c r="C1101" s="195" t="s">
        <v>1538</v>
      </c>
      <c r="D1101" s="64">
        <v>10585</v>
      </c>
      <c r="E1101" s="195" t="s">
        <v>373</v>
      </c>
      <c r="F1101" s="71" t="s">
        <v>508</v>
      </c>
      <c r="G1101" s="71" t="s">
        <v>1377</v>
      </c>
      <c r="H1101" s="71" t="s">
        <v>1401</v>
      </c>
      <c r="I1101" s="71" t="s">
        <v>1381</v>
      </c>
    </row>
    <row r="1102" spans="1:9" ht="43.5" x14ac:dyDescent="0.35">
      <c r="A1102" s="195">
        <v>7</v>
      </c>
      <c r="B1102" s="195">
        <v>152</v>
      </c>
      <c r="C1102" s="195" t="s">
        <v>1539</v>
      </c>
      <c r="D1102" s="64">
        <v>8525</v>
      </c>
      <c r="E1102" s="195" t="s">
        <v>373</v>
      </c>
      <c r="F1102" s="71" t="s">
        <v>508</v>
      </c>
      <c r="G1102" s="71" t="s">
        <v>1377</v>
      </c>
      <c r="H1102" s="71" t="s">
        <v>1401</v>
      </c>
      <c r="I1102" s="71" t="s">
        <v>1383</v>
      </c>
    </row>
    <row r="1103" spans="1:9" ht="43.5" x14ac:dyDescent="0.35">
      <c r="A1103" s="195">
        <v>7</v>
      </c>
      <c r="B1103" s="195">
        <v>153</v>
      </c>
      <c r="C1103" s="195" t="s">
        <v>1540</v>
      </c>
      <c r="D1103" s="64">
        <v>19795</v>
      </c>
      <c r="E1103" s="195" t="s">
        <v>373</v>
      </c>
      <c r="F1103" s="71" t="s">
        <v>508</v>
      </c>
      <c r="G1103" s="71" t="s">
        <v>1377</v>
      </c>
      <c r="H1103" s="71" t="s">
        <v>1401</v>
      </c>
      <c r="I1103" s="71" t="s">
        <v>1385</v>
      </c>
    </row>
    <row r="1104" spans="1:9" ht="43.5" x14ac:dyDescent="0.35">
      <c r="A1104" s="195">
        <v>7</v>
      </c>
      <c r="B1104" s="195">
        <v>154</v>
      </c>
      <c r="C1104" s="195" t="s">
        <v>1541</v>
      </c>
      <c r="D1104" s="64">
        <v>1910</v>
      </c>
      <c r="E1104" s="195" t="s">
        <v>373</v>
      </c>
      <c r="F1104" s="71" t="s">
        <v>508</v>
      </c>
      <c r="G1104" s="71" t="s">
        <v>1377</v>
      </c>
      <c r="H1104" s="71" t="s">
        <v>1401</v>
      </c>
      <c r="I1104" s="71" t="s">
        <v>1387</v>
      </c>
    </row>
    <row r="1105" spans="1:9" ht="43.5" x14ac:dyDescent="0.35">
      <c r="A1105" s="195">
        <v>7</v>
      </c>
      <c r="B1105" s="195">
        <v>155</v>
      </c>
      <c r="C1105" s="195" t="s">
        <v>1542</v>
      </c>
      <c r="D1105" s="64">
        <v>66605</v>
      </c>
      <c r="E1105" s="195" t="s">
        <v>366</v>
      </c>
      <c r="F1105" s="71" t="s">
        <v>508</v>
      </c>
      <c r="G1105" s="71" t="s">
        <v>1377</v>
      </c>
      <c r="H1105" s="71" t="s">
        <v>1407</v>
      </c>
      <c r="I1105" s="71" t="s">
        <v>1374</v>
      </c>
    </row>
    <row r="1106" spans="1:9" ht="43.5" x14ac:dyDescent="0.35">
      <c r="A1106" s="195">
        <v>7</v>
      </c>
      <c r="B1106" s="195">
        <v>156</v>
      </c>
      <c r="C1106" s="195" t="s">
        <v>1543</v>
      </c>
      <c r="D1106" s="64">
        <v>5745</v>
      </c>
      <c r="E1106" s="195" t="s">
        <v>373</v>
      </c>
      <c r="F1106" s="71" t="s">
        <v>508</v>
      </c>
      <c r="G1106" s="71" t="s">
        <v>1377</v>
      </c>
      <c r="H1106" s="71" t="s">
        <v>1407</v>
      </c>
      <c r="I1106" s="71" t="s">
        <v>1381</v>
      </c>
    </row>
    <row r="1107" spans="1:9" ht="43.5" x14ac:dyDescent="0.35">
      <c r="A1107" s="195">
        <v>7</v>
      </c>
      <c r="B1107" s="195">
        <v>157</v>
      </c>
      <c r="C1107" s="195" t="s">
        <v>1544</v>
      </c>
      <c r="D1107" s="64">
        <v>5135</v>
      </c>
      <c r="E1107" s="195" t="s">
        <v>373</v>
      </c>
      <c r="F1107" s="71" t="s">
        <v>508</v>
      </c>
      <c r="G1107" s="71" t="s">
        <v>1377</v>
      </c>
      <c r="H1107" s="71" t="s">
        <v>1407</v>
      </c>
      <c r="I1107" s="71" t="s">
        <v>1383</v>
      </c>
    </row>
    <row r="1108" spans="1:9" ht="43.5" x14ac:dyDescent="0.35">
      <c r="A1108" s="195">
        <v>7</v>
      </c>
      <c r="B1108" s="195">
        <v>158</v>
      </c>
      <c r="C1108" s="195" t="s">
        <v>1545</v>
      </c>
      <c r="D1108" s="64">
        <v>42570</v>
      </c>
      <c r="E1108" s="195" t="s">
        <v>373</v>
      </c>
      <c r="F1108" s="71" t="s">
        <v>508</v>
      </c>
      <c r="G1108" s="71" t="s">
        <v>1377</v>
      </c>
      <c r="H1108" s="71" t="s">
        <v>1407</v>
      </c>
      <c r="I1108" s="71" t="s">
        <v>1385</v>
      </c>
    </row>
    <row r="1109" spans="1:9" ht="43.5" x14ac:dyDescent="0.35">
      <c r="A1109" s="195">
        <v>7</v>
      </c>
      <c r="B1109" s="195">
        <v>159</v>
      </c>
      <c r="C1109" s="195" t="s">
        <v>1546</v>
      </c>
      <c r="D1109" s="64">
        <v>13160</v>
      </c>
      <c r="E1109" s="195" t="s">
        <v>373</v>
      </c>
      <c r="F1109" s="71" t="s">
        <v>508</v>
      </c>
      <c r="G1109" s="71" t="s">
        <v>1377</v>
      </c>
      <c r="H1109" s="71" t="s">
        <v>1407</v>
      </c>
      <c r="I1109" s="71" t="s">
        <v>1387</v>
      </c>
    </row>
    <row r="1110" spans="1:9" ht="43.5" x14ac:dyDescent="0.35">
      <c r="A1110" s="195">
        <v>7</v>
      </c>
      <c r="B1110" s="195">
        <v>160</v>
      </c>
      <c r="C1110" s="195" t="s">
        <v>1547</v>
      </c>
      <c r="D1110" s="64">
        <v>99385</v>
      </c>
      <c r="E1110" s="195" t="s">
        <v>366</v>
      </c>
      <c r="F1110" s="71" t="s">
        <v>508</v>
      </c>
      <c r="G1110" s="71" t="s">
        <v>1413</v>
      </c>
      <c r="H1110" s="71" t="s">
        <v>982</v>
      </c>
      <c r="I1110" s="71" t="s">
        <v>1374</v>
      </c>
    </row>
    <row r="1111" spans="1:9" ht="43.5" x14ac:dyDescent="0.35">
      <c r="A1111" s="195">
        <v>7</v>
      </c>
      <c r="B1111" s="195">
        <v>161</v>
      </c>
      <c r="C1111" s="195" t="s">
        <v>1548</v>
      </c>
      <c r="D1111" s="64">
        <v>5525</v>
      </c>
      <c r="E1111" s="195" t="s">
        <v>366</v>
      </c>
      <c r="F1111" s="71" t="s">
        <v>508</v>
      </c>
      <c r="G1111" s="71" t="s">
        <v>1413</v>
      </c>
      <c r="H1111" s="71" t="s">
        <v>1379</v>
      </c>
      <c r="I1111" s="71" t="s">
        <v>1374</v>
      </c>
    </row>
    <row r="1112" spans="1:9" ht="43.5" x14ac:dyDescent="0.35">
      <c r="A1112" s="195">
        <v>7</v>
      </c>
      <c r="B1112" s="195">
        <v>162</v>
      </c>
      <c r="C1112" s="195" t="s">
        <v>1549</v>
      </c>
      <c r="D1112" s="64">
        <v>1395</v>
      </c>
      <c r="E1112" s="195" t="s">
        <v>373</v>
      </c>
      <c r="F1112" s="71" t="s">
        <v>508</v>
      </c>
      <c r="G1112" s="71" t="s">
        <v>1413</v>
      </c>
      <c r="H1112" s="71" t="s">
        <v>1379</v>
      </c>
      <c r="I1112" s="71" t="s">
        <v>1381</v>
      </c>
    </row>
    <row r="1113" spans="1:9" ht="43.5" x14ac:dyDescent="0.35">
      <c r="A1113" s="195">
        <v>7</v>
      </c>
      <c r="B1113" s="195">
        <v>163</v>
      </c>
      <c r="C1113" s="195" t="s">
        <v>1550</v>
      </c>
      <c r="D1113" s="64">
        <v>2905</v>
      </c>
      <c r="E1113" s="195" t="s">
        <v>373</v>
      </c>
      <c r="F1113" s="71" t="s">
        <v>508</v>
      </c>
      <c r="G1113" s="71" t="s">
        <v>1413</v>
      </c>
      <c r="H1113" s="71" t="s">
        <v>1379</v>
      </c>
      <c r="I1113" s="71" t="s">
        <v>1383</v>
      </c>
    </row>
    <row r="1114" spans="1:9" ht="43.5" x14ac:dyDescent="0.35">
      <c r="A1114" s="195">
        <v>7</v>
      </c>
      <c r="B1114" s="195">
        <v>164</v>
      </c>
      <c r="C1114" s="195" t="s">
        <v>1551</v>
      </c>
      <c r="D1114" s="64">
        <v>1225</v>
      </c>
      <c r="E1114" s="195" t="s">
        <v>373</v>
      </c>
      <c r="F1114" s="71" t="s">
        <v>508</v>
      </c>
      <c r="G1114" s="71" t="s">
        <v>1413</v>
      </c>
      <c r="H1114" s="71" t="s">
        <v>1379</v>
      </c>
      <c r="I1114" s="71" t="s">
        <v>1385</v>
      </c>
    </row>
    <row r="1115" spans="1:9" ht="43.5" x14ac:dyDescent="0.35">
      <c r="A1115" s="195">
        <v>7</v>
      </c>
      <c r="B1115" s="195">
        <v>165</v>
      </c>
      <c r="C1115" s="195" t="s">
        <v>1552</v>
      </c>
      <c r="D1115" s="195">
        <v>0</v>
      </c>
      <c r="E1115" s="195" t="s">
        <v>373</v>
      </c>
      <c r="F1115" s="71" t="s">
        <v>508</v>
      </c>
      <c r="G1115" s="71" t="s">
        <v>1413</v>
      </c>
      <c r="H1115" s="71" t="s">
        <v>1379</v>
      </c>
      <c r="I1115" s="71" t="s">
        <v>1387</v>
      </c>
    </row>
    <row r="1116" spans="1:9" ht="58" x14ac:dyDescent="0.35">
      <c r="A1116" s="195">
        <v>7</v>
      </c>
      <c r="B1116" s="195">
        <v>166</v>
      </c>
      <c r="C1116" s="195" t="s">
        <v>1553</v>
      </c>
      <c r="D1116" s="64">
        <v>37235</v>
      </c>
      <c r="E1116" s="195" t="s">
        <v>366</v>
      </c>
      <c r="F1116" s="71" t="s">
        <v>508</v>
      </c>
      <c r="G1116" s="71" t="s">
        <v>1413</v>
      </c>
      <c r="H1116" s="71" t="s">
        <v>1389</v>
      </c>
      <c r="I1116" s="71" t="s">
        <v>1374</v>
      </c>
    </row>
    <row r="1117" spans="1:9" ht="58" x14ac:dyDescent="0.35">
      <c r="A1117" s="195">
        <v>7</v>
      </c>
      <c r="B1117" s="195">
        <v>167</v>
      </c>
      <c r="C1117" s="195" t="s">
        <v>1554</v>
      </c>
      <c r="D1117" s="64">
        <v>10305</v>
      </c>
      <c r="E1117" s="195" t="s">
        <v>373</v>
      </c>
      <c r="F1117" s="71" t="s">
        <v>508</v>
      </c>
      <c r="G1117" s="71" t="s">
        <v>1413</v>
      </c>
      <c r="H1117" s="71" t="s">
        <v>1389</v>
      </c>
      <c r="I1117" s="71" t="s">
        <v>1381</v>
      </c>
    </row>
    <row r="1118" spans="1:9" ht="58" x14ac:dyDescent="0.35">
      <c r="A1118" s="195">
        <v>7</v>
      </c>
      <c r="B1118" s="195">
        <v>168</v>
      </c>
      <c r="C1118" s="195" t="s">
        <v>1555</v>
      </c>
      <c r="D1118" s="64">
        <v>19985</v>
      </c>
      <c r="E1118" s="195" t="s">
        <v>373</v>
      </c>
      <c r="F1118" s="71" t="s">
        <v>508</v>
      </c>
      <c r="G1118" s="71" t="s">
        <v>1413</v>
      </c>
      <c r="H1118" s="71" t="s">
        <v>1389</v>
      </c>
      <c r="I1118" s="71" t="s">
        <v>1383</v>
      </c>
    </row>
    <row r="1119" spans="1:9" ht="58" x14ac:dyDescent="0.35">
      <c r="A1119" s="195">
        <v>7</v>
      </c>
      <c r="B1119" s="195">
        <v>169</v>
      </c>
      <c r="C1119" s="195" t="s">
        <v>1556</v>
      </c>
      <c r="D1119" s="64">
        <v>6945</v>
      </c>
      <c r="E1119" s="195" t="s">
        <v>373</v>
      </c>
      <c r="F1119" s="71" t="s">
        <v>508</v>
      </c>
      <c r="G1119" s="71" t="s">
        <v>1413</v>
      </c>
      <c r="H1119" s="71" t="s">
        <v>1389</v>
      </c>
      <c r="I1119" s="71" t="s">
        <v>1385</v>
      </c>
    </row>
    <row r="1120" spans="1:9" ht="58" x14ac:dyDescent="0.35">
      <c r="A1120" s="195">
        <v>7</v>
      </c>
      <c r="B1120" s="195">
        <v>170</v>
      </c>
      <c r="C1120" s="195" t="s">
        <v>1557</v>
      </c>
      <c r="D1120" s="195">
        <v>0</v>
      </c>
      <c r="E1120" s="195" t="s">
        <v>373</v>
      </c>
      <c r="F1120" s="71" t="s">
        <v>508</v>
      </c>
      <c r="G1120" s="71" t="s">
        <v>1413</v>
      </c>
      <c r="H1120" s="71" t="s">
        <v>1389</v>
      </c>
      <c r="I1120" s="71" t="s">
        <v>1387</v>
      </c>
    </row>
    <row r="1121" spans="1:9" ht="43.5" x14ac:dyDescent="0.35">
      <c r="A1121" s="195">
        <v>7</v>
      </c>
      <c r="B1121" s="195">
        <v>171</v>
      </c>
      <c r="C1121" s="195" t="s">
        <v>1558</v>
      </c>
      <c r="D1121" s="64">
        <v>11100</v>
      </c>
      <c r="E1121" s="195" t="s">
        <v>366</v>
      </c>
      <c r="F1121" s="71" t="s">
        <v>508</v>
      </c>
      <c r="G1121" s="71" t="s">
        <v>1413</v>
      </c>
      <c r="H1121" s="71" t="s">
        <v>1395</v>
      </c>
      <c r="I1121" s="71" t="s">
        <v>1374</v>
      </c>
    </row>
    <row r="1122" spans="1:9" ht="43.5" x14ac:dyDescent="0.35">
      <c r="A1122" s="195">
        <v>7</v>
      </c>
      <c r="B1122" s="195">
        <v>172</v>
      </c>
      <c r="C1122" s="195" t="s">
        <v>1559</v>
      </c>
      <c r="D1122" s="64">
        <v>4605</v>
      </c>
      <c r="E1122" s="195" t="s">
        <v>373</v>
      </c>
      <c r="F1122" s="71" t="s">
        <v>508</v>
      </c>
      <c r="G1122" s="71" t="s">
        <v>1413</v>
      </c>
      <c r="H1122" s="71" t="s">
        <v>1395</v>
      </c>
      <c r="I1122" s="71" t="s">
        <v>1381</v>
      </c>
    </row>
    <row r="1123" spans="1:9" ht="43.5" x14ac:dyDescent="0.35">
      <c r="A1123" s="195">
        <v>7</v>
      </c>
      <c r="B1123" s="195">
        <v>173</v>
      </c>
      <c r="C1123" s="195" t="s">
        <v>1560</v>
      </c>
      <c r="D1123" s="64">
        <v>5245</v>
      </c>
      <c r="E1123" s="195" t="s">
        <v>373</v>
      </c>
      <c r="F1123" s="71" t="s">
        <v>508</v>
      </c>
      <c r="G1123" s="71" t="s">
        <v>1413</v>
      </c>
      <c r="H1123" s="71" t="s">
        <v>1395</v>
      </c>
      <c r="I1123" s="71" t="s">
        <v>1383</v>
      </c>
    </row>
    <row r="1124" spans="1:9" ht="43.5" x14ac:dyDescent="0.35">
      <c r="A1124" s="195">
        <v>7</v>
      </c>
      <c r="B1124" s="195">
        <v>174</v>
      </c>
      <c r="C1124" s="195" t="s">
        <v>1561</v>
      </c>
      <c r="D1124" s="64">
        <v>1250</v>
      </c>
      <c r="E1124" s="195" t="s">
        <v>373</v>
      </c>
      <c r="F1124" s="71" t="s">
        <v>508</v>
      </c>
      <c r="G1124" s="71" t="s">
        <v>1413</v>
      </c>
      <c r="H1124" s="71" t="s">
        <v>1395</v>
      </c>
      <c r="I1124" s="71" t="s">
        <v>1385</v>
      </c>
    </row>
    <row r="1125" spans="1:9" ht="43.5" x14ac:dyDescent="0.35">
      <c r="A1125" s="195">
        <v>7</v>
      </c>
      <c r="B1125" s="195">
        <v>175</v>
      </c>
      <c r="C1125" s="195" t="s">
        <v>1562</v>
      </c>
      <c r="D1125" s="195">
        <v>0</v>
      </c>
      <c r="E1125" s="195" t="s">
        <v>373</v>
      </c>
      <c r="F1125" s="71" t="s">
        <v>508</v>
      </c>
      <c r="G1125" s="71" t="s">
        <v>1413</v>
      </c>
      <c r="H1125" s="71" t="s">
        <v>1395</v>
      </c>
      <c r="I1125" s="71" t="s">
        <v>1387</v>
      </c>
    </row>
    <row r="1126" spans="1:9" ht="43.5" x14ac:dyDescent="0.35">
      <c r="A1126" s="195">
        <v>7</v>
      </c>
      <c r="B1126" s="195">
        <v>176</v>
      </c>
      <c r="C1126" s="195" t="s">
        <v>1563</v>
      </c>
      <c r="D1126" s="64">
        <v>13110</v>
      </c>
      <c r="E1126" s="195" t="s">
        <v>366</v>
      </c>
      <c r="F1126" s="71" t="s">
        <v>508</v>
      </c>
      <c r="G1126" s="71" t="s">
        <v>1413</v>
      </c>
      <c r="H1126" s="71" t="s">
        <v>1401</v>
      </c>
      <c r="I1126" s="71" t="s">
        <v>1374</v>
      </c>
    </row>
    <row r="1127" spans="1:9" ht="43.5" x14ac:dyDescent="0.35">
      <c r="A1127" s="195">
        <v>7</v>
      </c>
      <c r="B1127" s="195">
        <v>177</v>
      </c>
      <c r="C1127" s="195" t="s">
        <v>1564</v>
      </c>
      <c r="D1127" s="64">
        <v>4310</v>
      </c>
      <c r="E1127" s="195" t="s">
        <v>373</v>
      </c>
      <c r="F1127" s="71" t="s">
        <v>508</v>
      </c>
      <c r="G1127" s="71" t="s">
        <v>1413</v>
      </c>
      <c r="H1127" s="71" t="s">
        <v>1401</v>
      </c>
      <c r="I1127" s="71" t="s">
        <v>1381</v>
      </c>
    </row>
    <row r="1128" spans="1:9" ht="43.5" x14ac:dyDescent="0.35">
      <c r="A1128" s="195">
        <v>7</v>
      </c>
      <c r="B1128" s="195">
        <v>178</v>
      </c>
      <c r="C1128" s="195" t="s">
        <v>1565</v>
      </c>
      <c r="D1128" s="64">
        <v>5345</v>
      </c>
      <c r="E1128" s="195" t="s">
        <v>373</v>
      </c>
      <c r="F1128" s="71" t="s">
        <v>508</v>
      </c>
      <c r="G1128" s="71" t="s">
        <v>1413</v>
      </c>
      <c r="H1128" s="71" t="s">
        <v>1401</v>
      </c>
      <c r="I1128" s="71" t="s">
        <v>1383</v>
      </c>
    </row>
    <row r="1129" spans="1:9" ht="43.5" x14ac:dyDescent="0.35">
      <c r="A1129" s="195">
        <v>7</v>
      </c>
      <c r="B1129" s="195">
        <v>179</v>
      </c>
      <c r="C1129" s="195" t="s">
        <v>1566</v>
      </c>
      <c r="D1129" s="64">
        <v>3460</v>
      </c>
      <c r="E1129" s="195" t="s">
        <v>373</v>
      </c>
      <c r="F1129" s="71" t="s">
        <v>508</v>
      </c>
      <c r="G1129" s="71" t="s">
        <v>1413</v>
      </c>
      <c r="H1129" s="71" t="s">
        <v>1401</v>
      </c>
      <c r="I1129" s="71" t="s">
        <v>1385</v>
      </c>
    </row>
    <row r="1130" spans="1:9" ht="43.5" x14ac:dyDescent="0.35">
      <c r="A1130" s="195">
        <v>7</v>
      </c>
      <c r="B1130" s="195">
        <v>180</v>
      </c>
      <c r="C1130" s="195" t="s">
        <v>1567</v>
      </c>
      <c r="D1130" s="195">
        <v>0</v>
      </c>
      <c r="E1130" s="195" t="s">
        <v>373</v>
      </c>
      <c r="F1130" s="71" t="s">
        <v>508</v>
      </c>
      <c r="G1130" s="71" t="s">
        <v>1413</v>
      </c>
      <c r="H1130" s="71" t="s">
        <v>1401</v>
      </c>
      <c r="I1130" s="71" t="s">
        <v>1387</v>
      </c>
    </row>
    <row r="1131" spans="1:9" ht="43.5" x14ac:dyDescent="0.35">
      <c r="A1131" s="195">
        <v>7</v>
      </c>
      <c r="B1131" s="195">
        <v>181</v>
      </c>
      <c r="C1131" s="195" t="s">
        <v>1568</v>
      </c>
      <c r="D1131" s="64">
        <v>32415</v>
      </c>
      <c r="E1131" s="195" t="s">
        <v>366</v>
      </c>
      <c r="F1131" s="71" t="s">
        <v>508</v>
      </c>
      <c r="G1131" s="71" t="s">
        <v>1413</v>
      </c>
      <c r="H1131" s="71" t="s">
        <v>1407</v>
      </c>
      <c r="I1131" s="71" t="s">
        <v>1374</v>
      </c>
    </row>
    <row r="1132" spans="1:9" ht="43.5" x14ac:dyDescent="0.35">
      <c r="A1132" s="195">
        <v>7</v>
      </c>
      <c r="B1132" s="195">
        <v>182</v>
      </c>
      <c r="C1132" s="195" t="s">
        <v>1569</v>
      </c>
      <c r="D1132" s="64">
        <v>5140</v>
      </c>
      <c r="E1132" s="195" t="s">
        <v>373</v>
      </c>
      <c r="F1132" s="71" t="s">
        <v>508</v>
      </c>
      <c r="G1132" s="71" t="s">
        <v>1413</v>
      </c>
      <c r="H1132" s="71" t="s">
        <v>1407</v>
      </c>
      <c r="I1132" s="71" t="s">
        <v>1381</v>
      </c>
    </row>
    <row r="1133" spans="1:9" ht="43.5" x14ac:dyDescent="0.35">
      <c r="A1133" s="195">
        <v>7</v>
      </c>
      <c r="B1133" s="195">
        <v>183</v>
      </c>
      <c r="C1133" s="195" t="s">
        <v>1570</v>
      </c>
      <c r="D1133" s="64">
        <v>16455</v>
      </c>
      <c r="E1133" s="195" t="s">
        <v>373</v>
      </c>
      <c r="F1133" s="71" t="s">
        <v>508</v>
      </c>
      <c r="G1133" s="71" t="s">
        <v>1413</v>
      </c>
      <c r="H1133" s="71" t="s">
        <v>1407</v>
      </c>
      <c r="I1133" s="71" t="s">
        <v>1383</v>
      </c>
    </row>
    <row r="1134" spans="1:9" ht="43.5" x14ac:dyDescent="0.35">
      <c r="A1134" s="195">
        <v>7</v>
      </c>
      <c r="B1134" s="195">
        <v>184</v>
      </c>
      <c r="C1134" s="195" t="s">
        <v>1571</v>
      </c>
      <c r="D1134" s="64">
        <v>10825</v>
      </c>
      <c r="E1134" s="195" t="s">
        <v>373</v>
      </c>
      <c r="F1134" s="71" t="s">
        <v>508</v>
      </c>
      <c r="G1134" s="71" t="s">
        <v>1413</v>
      </c>
      <c r="H1134" s="71" t="s">
        <v>1407</v>
      </c>
      <c r="I1134" s="71" t="s">
        <v>1385</v>
      </c>
    </row>
    <row r="1135" spans="1:9" ht="43.5" x14ac:dyDescent="0.35">
      <c r="A1135" s="195">
        <v>7</v>
      </c>
      <c r="B1135" s="195">
        <v>185</v>
      </c>
      <c r="C1135" s="195" t="s">
        <v>1572</v>
      </c>
      <c r="D1135" s="195">
        <v>0</v>
      </c>
      <c r="E1135" s="195" t="s">
        <v>373</v>
      </c>
      <c r="F1135" s="71" t="s">
        <v>508</v>
      </c>
      <c r="G1135" s="71" t="s">
        <v>1413</v>
      </c>
      <c r="H1135" s="71" t="s">
        <v>1407</v>
      </c>
      <c r="I1135" s="71" t="s">
        <v>1387</v>
      </c>
    </row>
    <row r="1136" spans="1:9" ht="43.5" x14ac:dyDescent="0.35">
      <c r="A1136" s="195">
        <v>7</v>
      </c>
      <c r="B1136" s="195">
        <v>186</v>
      </c>
      <c r="C1136" s="195" t="s">
        <v>1573</v>
      </c>
      <c r="D1136" s="64">
        <v>99385</v>
      </c>
      <c r="E1136" s="195" t="s">
        <v>366</v>
      </c>
      <c r="F1136" s="71" t="s">
        <v>508</v>
      </c>
      <c r="G1136" s="71" t="s">
        <v>1440</v>
      </c>
      <c r="H1136" s="71" t="s">
        <v>982</v>
      </c>
      <c r="I1136" s="71" t="s">
        <v>1374</v>
      </c>
    </row>
    <row r="1137" spans="1:9" ht="43.5" x14ac:dyDescent="0.35">
      <c r="A1137" s="195">
        <v>7</v>
      </c>
      <c r="B1137" s="195">
        <v>187</v>
      </c>
      <c r="C1137" s="195" t="s">
        <v>1574</v>
      </c>
      <c r="D1137" s="64">
        <v>4455</v>
      </c>
      <c r="E1137" s="195" t="s">
        <v>366</v>
      </c>
      <c r="F1137" s="71" t="s">
        <v>508</v>
      </c>
      <c r="G1137" s="71" t="s">
        <v>1440</v>
      </c>
      <c r="H1137" s="71" t="s">
        <v>1379</v>
      </c>
      <c r="I1137" s="71" t="s">
        <v>1374</v>
      </c>
    </row>
    <row r="1138" spans="1:9" ht="43.5" x14ac:dyDescent="0.35">
      <c r="A1138" s="195">
        <v>7</v>
      </c>
      <c r="B1138" s="195">
        <v>188</v>
      </c>
      <c r="C1138" s="195" t="s">
        <v>1575</v>
      </c>
      <c r="D1138" s="64">
        <v>3295</v>
      </c>
      <c r="E1138" s="195" t="s">
        <v>373</v>
      </c>
      <c r="F1138" s="71" t="s">
        <v>508</v>
      </c>
      <c r="G1138" s="71" t="s">
        <v>1440</v>
      </c>
      <c r="H1138" s="71" t="s">
        <v>1379</v>
      </c>
      <c r="I1138" s="71" t="s">
        <v>1381</v>
      </c>
    </row>
    <row r="1139" spans="1:9" ht="43.5" x14ac:dyDescent="0.35">
      <c r="A1139" s="195">
        <v>7</v>
      </c>
      <c r="B1139" s="195">
        <v>189</v>
      </c>
      <c r="C1139" s="195" t="s">
        <v>1576</v>
      </c>
      <c r="D1139" s="64">
        <v>965</v>
      </c>
      <c r="E1139" s="195" t="s">
        <v>373</v>
      </c>
      <c r="F1139" s="71" t="s">
        <v>508</v>
      </c>
      <c r="G1139" s="71" t="s">
        <v>1440</v>
      </c>
      <c r="H1139" s="71" t="s">
        <v>1379</v>
      </c>
      <c r="I1139" s="71" t="s">
        <v>1383</v>
      </c>
    </row>
    <row r="1140" spans="1:9" ht="43.5" x14ac:dyDescent="0.35">
      <c r="A1140" s="195">
        <v>7</v>
      </c>
      <c r="B1140" s="195">
        <v>190</v>
      </c>
      <c r="C1140" s="195" t="s">
        <v>1577</v>
      </c>
      <c r="D1140" s="195">
        <v>195</v>
      </c>
      <c r="E1140" s="195" t="s">
        <v>373</v>
      </c>
      <c r="F1140" s="71" t="s">
        <v>508</v>
      </c>
      <c r="G1140" s="71" t="s">
        <v>1440</v>
      </c>
      <c r="H1140" s="71" t="s">
        <v>1379</v>
      </c>
      <c r="I1140" s="71" t="s">
        <v>1385</v>
      </c>
    </row>
    <row r="1141" spans="1:9" ht="43.5" x14ac:dyDescent="0.35">
      <c r="A1141" s="195">
        <v>7</v>
      </c>
      <c r="B1141" s="195">
        <v>191</v>
      </c>
      <c r="C1141" s="195" t="s">
        <v>1578</v>
      </c>
      <c r="D1141" s="195">
        <v>0</v>
      </c>
      <c r="E1141" s="195" t="s">
        <v>373</v>
      </c>
      <c r="F1141" s="71" t="s">
        <v>508</v>
      </c>
      <c r="G1141" s="71" t="s">
        <v>1440</v>
      </c>
      <c r="H1141" s="71" t="s">
        <v>1379</v>
      </c>
      <c r="I1141" s="71" t="s">
        <v>1387</v>
      </c>
    </row>
    <row r="1142" spans="1:9" ht="58" x14ac:dyDescent="0.35">
      <c r="A1142" s="195">
        <v>7</v>
      </c>
      <c r="B1142" s="195">
        <v>192</v>
      </c>
      <c r="C1142" s="195" t="s">
        <v>1579</v>
      </c>
      <c r="D1142" s="64">
        <v>34400</v>
      </c>
      <c r="E1142" s="195" t="s">
        <v>366</v>
      </c>
      <c r="F1142" s="71" t="s">
        <v>508</v>
      </c>
      <c r="G1142" s="71" t="s">
        <v>1440</v>
      </c>
      <c r="H1142" s="71" t="s">
        <v>1389</v>
      </c>
      <c r="I1142" s="71" t="s">
        <v>1374</v>
      </c>
    </row>
    <row r="1143" spans="1:9" ht="58" x14ac:dyDescent="0.35">
      <c r="A1143" s="195">
        <v>7</v>
      </c>
      <c r="B1143" s="195">
        <v>193</v>
      </c>
      <c r="C1143" s="195" t="s">
        <v>1580</v>
      </c>
      <c r="D1143" s="64">
        <v>25370</v>
      </c>
      <c r="E1143" s="195" t="s">
        <v>373</v>
      </c>
      <c r="F1143" s="71" t="s">
        <v>508</v>
      </c>
      <c r="G1143" s="71" t="s">
        <v>1440</v>
      </c>
      <c r="H1143" s="71" t="s">
        <v>1389</v>
      </c>
      <c r="I1143" s="71" t="s">
        <v>1381</v>
      </c>
    </row>
    <row r="1144" spans="1:9" ht="58" x14ac:dyDescent="0.35">
      <c r="A1144" s="195">
        <v>7</v>
      </c>
      <c r="B1144" s="195">
        <v>194</v>
      </c>
      <c r="C1144" s="195" t="s">
        <v>1581</v>
      </c>
      <c r="D1144" s="64">
        <v>8125</v>
      </c>
      <c r="E1144" s="195" t="s">
        <v>373</v>
      </c>
      <c r="F1144" s="71" t="s">
        <v>508</v>
      </c>
      <c r="G1144" s="71" t="s">
        <v>1440</v>
      </c>
      <c r="H1144" s="71" t="s">
        <v>1389</v>
      </c>
      <c r="I1144" s="71" t="s">
        <v>1383</v>
      </c>
    </row>
    <row r="1145" spans="1:9" ht="58" x14ac:dyDescent="0.35">
      <c r="A1145" s="195">
        <v>7</v>
      </c>
      <c r="B1145" s="195">
        <v>195</v>
      </c>
      <c r="C1145" s="195" t="s">
        <v>1582</v>
      </c>
      <c r="D1145" s="64">
        <v>905</v>
      </c>
      <c r="E1145" s="195" t="s">
        <v>373</v>
      </c>
      <c r="F1145" s="71" t="s">
        <v>508</v>
      </c>
      <c r="G1145" s="71" t="s">
        <v>1440</v>
      </c>
      <c r="H1145" s="71" t="s">
        <v>1389</v>
      </c>
      <c r="I1145" s="71" t="s">
        <v>1385</v>
      </c>
    </row>
    <row r="1146" spans="1:9" ht="58" x14ac:dyDescent="0.35">
      <c r="A1146" s="195">
        <v>7</v>
      </c>
      <c r="B1146" s="195">
        <v>196</v>
      </c>
      <c r="C1146" s="195" t="s">
        <v>1583</v>
      </c>
      <c r="D1146" s="195">
        <v>0</v>
      </c>
      <c r="E1146" s="195" t="s">
        <v>373</v>
      </c>
      <c r="F1146" s="71" t="s">
        <v>508</v>
      </c>
      <c r="G1146" s="71" t="s">
        <v>1440</v>
      </c>
      <c r="H1146" s="71" t="s">
        <v>1389</v>
      </c>
      <c r="I1146" s="71" t="s">
        <v>1387</v>
      </c>
    </row>
    <row r="1147" spans="1:9" ht="43.5" x14ac:dyDescent="0.35">
      <c r="A1147" s="195">
        <v>7</v>
      </c>
      <c r="B1147" s="195">
        <v>197</v>
      </c>
      <c r="C1147" s="195" t="s">
        <v>1584</v>
      </c>
      <c r="D1147" s="64">
        <v>8680</v>
      </c>
      <c r="E1147" s="195" t="s">
        <v>366</v>
      </c>
      <c r="F1147" s="71" t="s">
        <v>508</v>
      </c>
      <c r="G1147" s="71" t="s">
        <v>1440</v>
      </c>
      <c r="H1147" s="71" t="s">
        <v>1395</v>
      </c>
      <c r="I1147" s="71" t="s">
        <v>1374</v>
      </c>
    </row>
    <row r="1148" spans="1:9" ht="43.5" x14ac:dyDescent="0.35">
      <c r="A1148" s="195">
        <v>7</v>
      </c>
      <c r="B1148" s="195">
        <v>198</v>
      </c>
      <c r="C1148" s="195" t="s">
        <v>1585</v>
      </c>
      <c r="D1148" s="64">
        <v>7445</v>
      </c>
      <c r="E1148" s="195" t="s">
        <v>373</v>
      </c>
      <c r="F1148" s="71" t="s">
        <v>508</v>
      </c>
      <c r="G1148" s="71" t="s">
        <v>1440</v>
      </c>
      <c r="H1148" s="71" t="s">
        <v>1395</v>
      </c>
      <c r="I1148" s="71" t="s">
        <v>1381</v>
      </c>
    </row>
    <row r="1149" spans="1:9" ht="43.5" x14ac:dyDescent="0.35">
      <c r="A1149" s="195">
        <v>7</v>
      </c>
      <c r="B1149" s="195">
        <v>199</v>
      </c>
      <c r="C1149" s="195" t="s">
        <v>1586</v>
      </c>
      <c r="D1149" s="64">
        <v>1220</v>
      </c>
      <c r="E1149" s="195" t="s">
        <v>373</v>
      </c>
      <c r="F1149" s="71" t="s">
        <v>508</v>
      </c>
      <c r="G1149" s="71" t="s">
        <v>1440</v>
      </c>
      <c r="H1149" s="71" t="s">
        <v>1395</v>
      </c>
      <c r="I1149" s="71" t="s">
        <v>1383</v>
      </c>
    </row>
    <row r="1150" spans="1:9" ht="43.5" x14ac:dyDescent="0.35">
      <c r="A1150" s="195">
        <v>7</v>
      </c>
      <c r="B1150" s="195">
        <v>200</v>
      </c>
      <c r="C1150" s="195" t="s">
        <v>1587</v>
      </c>
      <c r="D1150" s="195">
        <v>20</v>
      </c>
      <c r="E1150" s="195" t="s">
        <v>373</v>
      </c>
      <c r="F1150" s="71" t="s">
        <v>508</v>
      </c>
      <c r="G1150" s="71" t="s">
        <v>1440</v>
      </c>
      <c r="H1150" s="71" t="s">
        <v>1395</v>
      </c>
      <c r="I1150" s="71" t="s">
        <v>1385</v>
      </c>
    </row>
    <row r="1151" spans="1:9" ht="43.5" x14ac:dyDescent="0.35">
      <c r="A1151" s="195">
        <v>7</v>
      </c>
      <c r="B1151" s="195">
        <v>201</v>
      </c>
      <c r="C1151" s="195" t="s">
        <v>1588</v>
      </c>
      <c r="D1151" s="195">
        <v>0</v>
      </c>
      <c r="E1151" s="195" t="s">
        <v>373</v>
      </c>
      <c r="F1151" s="71" t="s">
        <v>508</v>
      </c>
      <c r="G1151" s="71" t="s">
        <v>1440</v>
      </c>
      <c r="H1151" s="71" t="s">
        <v>1395</v>
      </c>
      <c r="I1151" s="71" t="s">
        <v>1387</v>
      </c>
    </row>
    <row r="1152" spans="1:9" ht="43.5" x14ac:dyDescent="0.35">
      <c r="A1152" s="195">
        <v>7</v>
      </c>
      <c r="B1152" s="195">
        <v>202</v>
      </c>
      <c r="C1152" s="195" t="s">
        <v>1589</v>
      </c>
      <c r="D1152" s="64">
        <v>6985</v>
      </c>
      <c r="E1152" s="195" t="s">
        <v>366</v>
      </c>
      <c r="F1152" s="71" t="s">
        <v>508</v>
      </c>
      <c r="G1152" s="71" t="s">
        <v>1440</v>
      </c>
      <c r="H1152" s="71" t="s">
        <v>1401</v>
      </c>
      <c r="I1152" s="71" t="s">
        <v>1374</v>
      </c>
    </row>
    <row r="1153" spans="1:9" ht="43.5" x14ac:dyDescent="0.35">
      <c r="A1153" s="195">
        <v>7</v>
      </c>
      <c r="B1153" s="195">
        <v>203</v>
      </c>
      <c r="C1153" s="195" t="s">
        <v>1590</v>
      </c>
      <c r="D1153" s="64">
        <v>4155</v>
      </c>
      <c r="E1153" s="195" t="s">
        <v>373</v>
      </c>
      <c r="F1153" s="71" t="s">
        <v>508</v>
      </c>
      <c r="G1153" s="71" t="s">
        <v>1440</v>
      </c>
      <c r="H1153" s="71" t="s">
        <v>1401</v>
      </c>
      <c r="I1153" s="71" t="s">
        <v>1381</v>
      </c>
    </row>
    <row r="1154" spans="1:9" ht="43.5" x14ac:dyDescent="0.35">
      <c r="A1154" s="195">
        <v>7</v>
      </c>
      <c r="B1154" s="195">
        <v>204</v>
      </c>
      <c r="C1154" s="195" t="s">
        <v>1591</v>
      </c>
      <c r="D1154" s="64">
        <v>2185</v>
      </c>
      <c r="E1154" s="195" t="s">
        <v>373</v>
      </c>
      <c r="F1154" s="71" t="s">
        <v>508</v>
      </c>
      <c r="G1154" s="71" t="s">
        <v>1440</v>
      </c>
      <c r="H1154" s="71" t="s">
        <v>1401</v>
      </c>
      <c r="I1154" s="71" t="s">
        <v>1383</v>
      </c>
    </row>
    <row r="1155" spans="1:9" ht="43.5" x14ac:dyDescent="0.35">
      <c r="A1155" s="195">
        <v>7</v>
      </c>
      <c r="B1155" s="195">
        <v>205</v>
      </c>
      <c r="C1155" s="195" t="s">
        <v>1592</v>
      </c>
      <c r="D1155" s="64">
        <v>650</v>
      </c>
      <c r="E1155" s="195" t="s">
        <v>373</v>
      </c>
      <c r="F1155" s="71" t="s">
        <v>508</v>
      </c>
      <c r="G1155" s="71" t="s">
        <v>1440</v>
      </c>
      <c r="H1155" s="71" t="s">
        <v>1401</v>
      </c>
      <c r="I1155" s="71" t="s">
        <v>1385</v>
      </c>
    </row>
    <row r="1156" spans="1:9" ht="43.5" x14ac:dyDescent="0.35">
      <c r="A1156" s="195">
        <v>7</v>
      </c>
      <c r="B1156" s="195">
        <v>206</v>
      </c>
      <c r="C1156" s="195" t="s">
        <v>1593</v>
      </c>
      <c r="D1156" s="195">
        <v>0</v>
      </c>
      <c r="E1156" s="195" t="s">
        <v>373</v>
      </c>
      <c r="F1156" s="71" t="s">
        <v>508</v>
      </c>
      <c r="G1156" s="71" t="s">
        <v>1440</v>
      </c>
      <c r="H1156" s="71" t="s">
        <v>1401</v>
      </c>
      <c r="I1156" s="71" t="s">
        <v>1387</v>
      </c>
    </row>
    <row r="1157" spans="1:9" ht="43.5" x14ac:dyDescent="0.35">
      <c r="A1157" s="195">
        <v>7</v>
      </c>
      <c r="B1157" s="195">
        <v>207</v>
      </c>
      <c r="C1157" s="195" t="s">
        <v>1594</v>
      </c>
      <c r="D1157" s="64">
        <v>44860</v>
      </c>
      <c r="E1157" s="195" t="s">
        <v>366</v>
      </c>
      <c r="F1157" s="71" t="s">
        <v>508</v>
      </c>
      <c r="G1157" s="71" t="s">
        <v>1440</v>
      </c>
      <c r="H1157" s="71" t="s">
        <v>1407</v>
      </c>
      <c r="I1157" s="71" t="s">
        <v>1374</v>
      </c>
    </row>
    <row r="1158" spans="1:9" ht="43.5" x14ac:dyDescent="0.35">
      <c r="A1158" s="195">
        <v>7</v>
      </c>
      <c r="B1158" s="195">
        <v>208</v>
      </c>
      <c r="C1158" s="195" t="s">
        <v>1595</v>
      </c>
      <c r="D1158" s="64">
        <v>24335</v>
      </c>
      <c r="E1158" s="195" t="s">
        <v>373</v>
      </c>
      <c r="F1158" s="71" t="s">
        <v>508</v>
      </c>
      <c r="G1158" s="71" t="s">
        <v>1440</v>
      </c>
      <c r="H1158" s="71" t="s">
        <v>1407</v>
      </c>
      <c r="I1158" s="71" t="s">
        <v>1381</v>
      </c>
    </row>
    <row r="1159" spans="1:9" ht="43.5" x14ac:dyDescent="0.35">
      <c r="A1159" s="195">
        <v>7</v>
      </c>
      <c r="B1159" s="195">
        <v>209</v>
      </c>
      <c r="C1159" s="195" t="s">
        <v>1596</v>
      </c>
      <c r="D1159" s="64">
        <v>16915</v>
      </c>
      <c r="E1159" s="195" t="s">
        <v>373</v>
      </c>
      <c r="F1159" s="71" t="s">
        <v>508</v>
      </c>
      <c r="G1159" s="71" t="s">
        <v>1440</v>
      </c>
      <c r="H1159" s="71" t="s">
        <v>1407</v>
      </c>
      <c r="I1159" s="71" t="s">
        <v>1383</v>
      </c>
    </row>
    <row r="1160" spans="1:9" ht="43.5" x14ac:dyDescent="0.35">
      <c r="A1160" s="195">
        <v>7</v>
      </c>
      <c r="B1160" s="195">
        <v>210</v>
      </c>
      <c r="C1160" s="195" t="s">
        <v>1597</v>
      </c>
      <c r="D1160" s="64">
        <v>3610</v>
      </c>
      <c r="E1160" s="195" t="s">
        <v>373</v>
      </c>
      <c r="F1160" s="71" t="s">
        <v>508</v>
      </c>
      <c r="G1160" s="71" t="s">
        <v>1440</v>
      </c>
      <c r="H1160" s="71" t="s">
        <v>1407</v>
      </c>
      <c r="I1160" s="71" t="s">
        <v>1385</v>
      </c>
    </row>
    <row r="1161" spans="1:9" ht="43.5" x14ac:dyDescent="0.35">
      <c r="A1161" s="195">
        <v>7</v>
      </c>
      <c r="B1161" s="195">
        <v>211</v>
      </c>
      <c r="C1161" s="195" t="s">
        <v>1598</v>
      </c>
      <c r="D1161" s="195">
        <v>0</v>
      </c>
      <c r="E1161" s="195" t="s">
        <v>373</v>
      </c>
      <c r="F1161" s="71" t="s">
        <v>508</v>
      </c>
      <c r="G1161" s="71" t="s">
        <v>1440</v>
      </c>
      <c r="H1161" s="71" t="s">
        <v>1407</v>
      </c>
      <c r="I1161" s="71" t="s">
        <v>1387</v>
      </c>
    </row>
    <row r="1162" spans="1:9" ht="43.5" x14ac:dyDescent="0.35">
      <c r="A1162" s="195">
        <v>7</v>
      </c>
      <c r="B1162" s="195">
        <v>212</v>
      </c>
      <c r="C1162" s="195" t="s">
        <v>1599</v>
      </c>
      <c r="D1162" s="64">
        <v>45690</v>
      </c>
      <c r="E1162" s="195" t="s">
        <v>366</v>
      </c>
      <c r="F1162" s="71" t="s">
        <v>508</v>
      </c>
      <c r="G1162" s="71" t="s">
        <v>1467</v>
      </c>
      <c r="H1162" s="71" t="s">
        <v>982</v>
      </c>
      <c r="I1162" s="71" t="s">
        <v>1374</v>
      </c>
    </row>
    <row r="1163" spans="1:9" ht="43.5" x14ac:dyDescent="0.35">
      <c r="A1163" s="195">
        <v>7</v>
      </c>
      <c r="B1163" s="195">
        <v>213</v>
      </c>
      <c r="C1163" s="195" t="s">
        <v>1600</v>
      </c>
      <c r="D1163" s="64">
        <v>1080</v>
      </c>
      <c r="E1163" s="195" t="s">
        <v>366</v>
      </c>
      <c r="F1163" s="71" t="s">
        <v>508</v>
      </c>
      <c r="G1163" s="71" t="s">
        <v>1467</v>
      </c>
      <c r="H1163" s="71" t="s">
        <v>1379</v>
      </c>
      <c r="I1163" s="71" t="s">
        <v>1374</v>
      </c>
    </row>
    <row r="1164" spans="1:9" ht="43.5" x14ac:dyDescent="0.35">
      <c r="A1164" s="195">
        <v>7</v>
      </c>
      <c r="B1164" s="195">
        <v>214</v>
      </c>
      <c r="C1164" s="195" t="s">
        <v>1601</v>
      </c>
      <c r="D1164" s="64">
        <v>990</v>
      </c>
      <c r="E1164" s="195" t="s">
        <v>373</v>
      </c>
      <c r="F1164" s="71" t="s">
        <v>508</v>
      </c>
      <c r="G1164" s="71" t="s">
        <v>1467</v>
      </c>
      <c r="H1164" s="71" t="s">
        <v>1379</v>
      </c>
      <c r="I1164" s="71" t="s">
        <v>1381</v>
      </c>
    </row>
    <row r="1165" spans="1:9" ht="43.5" x14ac:dyDescent="0.35">
      <c r="A1165" s="195">
        <v>7</v>
      </c>
      <c r="B1165" s="195">
        <v>215</v>
      </c>
      <c r="C1165" s="195" t="s">
        <v>1602</v>
      </c>
      <c r="D1165" s="195">
        <v>90</v>
      </c>
      <c r="E1165" s="195" t="s">
        <v>373</v>
      </c>
      <c r="F1165" s="71" t="s">
        <v>508</v>
      </c>
      <c r="G1165" s="71" t="s">
        <v>1467</v>
      </c>
      <c r="H1165" s="71" t="s">
        <v>1379</v>
      </c>
      <c r="I1165" s="71" t="s">
        <v>1383</v>
      </c>
    </row>
    <row r="1166" spans="1:9" ht="43.5" x14ac:dyDescent="0.35">
      <c r="A1166" s="195">
        <v>7</v>
      </c>
      <c r="B1166" s="195">
        <v>216</v>
      </c>
      <c r="C1166" s="195" t="s">
        <v>1603</v>
      </c>
      <c r="D1166" s="195">
        <v>0</v>
      </c>
      <c r="E1166" s="195" t="s">
        <v>373</v>
      </c>
      <c r="F1166" s="71" t="s">
        <v>508</v>
      </c>
      <c r="G1166" s="71" t="s">
        <v>1467</v>
      </c>
      <c r="H1166" s="71" t="s">
        <v>1379</v>
      </c>
      <c r="I1166" s="71" t="s">
        <v>1385</v>
      </c>
    </row>
    <row r="1167" spans="1:9" ht="43.5" x14ac:dyDescent="0.35">
      <c r="A1167" s="195">
        <v>7</v>
      </c>
      <c r="B1167" s="195">
        <v>217</v>
      </c>
      <c r="C1167" s="195" t="s">
        <v>1604</v>
      </c>
      <c r="D1167" s="195">
        <v>0</v>
      </c>
      <c r="E1167" s="195" t="s">
        <v>373</v>
      </c>
      <c r="F1167" s="71" t="s">
        <v>508</v>
      </c>
      <c r="G1167" s="71" t="s">
        <v>1467</v>
      </c>
      <c r="H1167" s="71" t="s">
        <v>1379</v>
      </c>
      <c r="I1167" s="71" t="s">
        <v>1387</v>
      </c>
    </row>
    <row r="1168" spans="1:9" ht="58" x14ac:dyDescent="0.35">
      <c r="A1168" s="195">
        <v>7</v>
      </c>
      <c r="B1168" s="195">
        <v>218</v>
      </c>
      <c r="C1168" s="195" t="s">
        <v>1605</v>
      </c>
      <c r="D1168" s="64">
        <v>15485</v>
      </c>
      <c r="E1168" s="195" t="s">
        <v>366</v>
      </c>
      <c r="F1168" s="71" t="s">
        <v>508</v>
      </c>
      <c r="G1168" s="71" t="s">
        <v>1467</v>
      </c>
      <c r="H1168" s="71" t="s">
        <v>1389</v>
      </c>
      <c r="I1168" s="71" t="s">
        <v>1374</v>
      </c>
    </row>
    <row r="1169" spans="1:9" ht="58" x14ac:dyDescent="0.35">
      <c r="A1169" s="195">
        <v>7</v>
      </c>
      <c r="B1169" s="195">
        <v>219</v>
      </c>
      <c r="C1169" s="195" t="s">
        <v>1606</v>
      </c>
      <c r="D1169" s="64">
        <v>14020</v>
      </c>
      <c r="E1169" s="195" t="s">
        <v>373</v>
      </c>
      <c r="F1169" s="71" t="s">
        <v>508</v>
      </c>
      <c r="G1169" s="71" t="s">
        <v>1467</v>
      </c>
      <c r="H1169" s="71" t="s">
        <v>1389</v>
      </c>
      <c r="I1169" s="71" t="s">
        <v>1381</v>
      </c>
    </row>
    <row r="1170" spans="1:9" ht="58" x14ac:dyDescent="0.35">
      <c r="A1170" s="195">
        <v>7</v>
      </c>
      <c r="B1170" s="195">
        <v>220</v>
      </c>
      <c r="C1170" s="195" t="s">
        <v>1607</v>
      </c>
      <c r="D1170" s="64">
        <v>1360</v>
      </c>
      <c r="E1170" s="195" t="s">
        <v>373</v>
      </c>
      <c r="F1170" s="71" t="s">
        <v>508</v>
      </c>
      <c r="G1170" s="71" t="s">
        <v>1467</v>
      </c>
      <c r="H1170" s="71" t="s">
        <v>1389</v>
      </c>
      <c r="I1170" s="71" t="s">
        <v>1383</v>
      </c>
    </row>
    <row r="1171" spans="1:9" ht="58" x14ac:dyDescent="0.35">
      <c r="A1171" s="195">
        <v>7</v>
      </c>
      <c r="B1171" s="195">
        <v>221</v>
      </c>
      <c r="C1171" s="195" t="s">
        <v>1608</v>
      </c>
      <c r="D1171" s="195">
        <v>105</v>
      </c>
      <c r="E1171" s="195" t="s">
        <v>373</v>
      </c>
      <c r="F1171" s="71" t="s">
        <v>508</v>
      </c>
      <c r="G1171" s="71" t="s">
        <v>1467</v>
      </c>
      <c r="H1171" s="71" t="s">
        <v>1389</v>
      </c>
      <c r="I1171" s="71" t="s">
        <v>1385</v>
      </c>
    </row>
    <row r="1172" spans="1:9" ht="58" x14ac:dyDescent="0.35">
      <c r="A1172" s="195">
        <v>7</v>
      </c>
      <c r="B1172" s="195">
        <v>222</v>
      </c>
      <c r="C1172" s="195" t="s">
        <v>1609</v>
      </c>
      <c r="D1172" s="195">
        <v>0</v>
      </c>
      <c r="E1172" s="195" t="s">
        <v>373</v>
      </c>
      <c r="F1172" s="71" t="s">
        <v>508</v>
      </c>
      <c r="G1172" s="71" t="s">
        <v>1467</v>
      </c>
      <c r="H1172" s="71" t="s">
        <v>1389</v>
      </c>
      <c r="I1172" s="71" t="s">
        <v>1387</v>
      </c>
    </row>
    <row r="1173" spans="1:9" ht="43.5" x14ac:dyDescent="0.35">
      <c r="A1173" s="195">
        <v>7</v>
      </c>
      <c r="B1173" s="195">
        <v>223</v>
      </c>
      <c r="C1173" s="195" t="s">
        <v>1610</v>
      </c>
      <c r="D1173" s="64">
        <v>2590</v>
      </c>
      <c r="E1173" s="195" t="s">
        <v>366</v>
      </c>
      <c r="F1173" s="71" t="s">
        <v>508</v>
      </c>
      <c r="G1173" s="71" t="s">
        <v>1467</v>
      </c>
      <c r="H1173" s="71" t="s">
        <v>1395</v>
      </c>
      <c r="I1173" s="71" t="s">
        <v>1374</v>
      </c>
    </row>
    <row r="1174" spans="1:9" ht="43.5" x14ac:dyDescent="0.35">
      <c r="A1174" s="195">
        <v>7</v>
      </c>
      <c r="B1174" s="195">
        <v>224</v>
      </c>
      <c r="C1174" s="195" t="s">
        <v>1611</v>
      </c>
      <c r="D1174" s="64">
        <v>2500</v>
      </c>
      <c r="E1174" s="195" t="s">
        <v>373</v>
      </c>
      <c r="F1174" s="71" t="s">
        <v>508</v>
      </c>
      <c r="G1174" s="71" t="s">
        <v>1467</v>
      </c>
      <c r="H1174" s="71" t="s">
        <v>1395</v>
      </c>
      <c r="I1174" s="71" t="s">
        <v>1381</v>
      </c>
    </row>
    <row r="1175" spans="1:9" ht="43.5" x14ac:dyDescent="0.35">
      <c r="A1175" s="195">
        <v>7</v>
      </c>
      <c r="B1175" s="195">
        <v>225</v>
      </c>
      <c r="C1175" s="195" t="s">
        <v>1612</v>
      </c>
      <c r="D1175" s="195">
        <v>85</v>
      </c>
      <c r="E1175" s="195" t="s">
        <v>373</v>
      </c>
      <c r="F1175" s="71" t="s">
        <v>508</v>
      </c>
      <c r="G1175" s="71" t="s">
        <v>1467</v>
      </c>
      <c r="H1175" s="71" t="s">
        <v>1395</v>
      </c>
      <c r="I1175" s="71" t="s">
        <v>1383</v>
      </c>
    </row>
    <row r="1176" spans="1:9" ht="43.5" x14ac:dyDescent="0.35">
      <c r="A1176" s="195">
        <v>7</v>
      </c>
      <c r="B1176" s="195">
        <v>226</v>
      </c>
      <c r="C1176" s="195" t="s">
        <v>1613</v>
      </c>
      <c r="D1176" s="195">
        <v>0</v>
      </c>
      <c r="E1176" s="195" t="s">
        <v>373</v>
      </c>
      <c r="F1176" s="71" t="s">
        <v>508</v>
      </c>
      <c r="G1176" s="71" t="s">
        <v>1467</v>
      </c>
      <c r="H1176" s="71" t="s">
        <v>1395</v>
      </c>
      <c r="I1176" s="71" t="s">
        <v>1385</v>
      </c>
    </row>
    <row r="1177" spans="1:9" ht="43.5" x14ac:dyDescent="0.35">
      <c r="A1177" s="195">
        <v>7</v>
      </c>
      <c r="B1177" s="195">
        <v>227</v>
      </c>
      <c r="C1177" s="195" t="s">
        <v>1614</v>
      </c>
      <c r="D1177" s="195">
        <v>0</v>
      </c>
      <c r="E1177" s="195" t="s">
        <v>373</v>
      </c>
      <c r="F1177" s="71" t="s">
        <v>508</v>
      </c>
      <c r="G1177" s="71" t="s">
        <v>1467</v>
      </c>
      <c r="H1177" s="71" t="s">
        <v>1395</v>
      </c>
      <c r="I1177" s="71" t="s">
        <v>1387</v>
      </c>
    </row>
    <row r="1178" spans="1:9" ht="43.5" x14ac:dyDescent="0.35">
      <c r="A1178" s="195">
        <v>7</v>
      </c>
      <c r="B1178" s="195">
        <v>228</v>
      </c>
      <c r="C1178" s="195" t="s">
        <v>1615</v>
      </c>
      <c r="D1178" s="64">
        <v>2165</v>
      </c>
      <c r="E1178" s="195" t="s">
        <v>366</v>
      </c>
      <c r="F1178" s="71" t="s">
        <v>508</v>
      </c>
      <c r="G1178" s="71" t="s">
        <v>1467</v>
      </c>
      <c r="H1178" s="71" t="s">
        <v>1401</v>
      </c>
      <c r="I1178" s="71" t="s">
        <v>1374</v>
      </c>
    </row>
    <row r="1179" spans="1:9" ht="43.5" x14ac:dyDescent="0.35">
      <c r="A1179" s="195">
        <v>7</v>
      </c>
      <c r="B1179" s="195">
        <v>229</v>
      </c>
      <c r="C1179" s="195" t="s">
        <v>1616</v>
      </c>
      <c r="D1179" s="64">
        <v>1695</v>
      </c>
      <c r="E1179" s="195" t="s">
        <v>373</v>
      </c>
      <c r="F1179" s="71" t="s">
        <v>508</v>
      </c>
      <c r="G1179" s="71" t="s">
        <v>1467</v>
      </c>
      <c r="H1179" s="71" t="s">
        <v>1401</v>
      </c>
      <c r="I1179" s="71" t="s">
        <v>1381</v>
      </c>
    </row>
    <row r="1180" spans="1:9" ht="43.5" x14ac:dyDescent="0.35">
      <c r="A1180" s="195">
        <v>7</v>
      </c>
      <c r="B1180" s="195">
        <v>230</v>
      </c>
      <c r="C1180" s="195" t="s">
        <v>1617</v>
      </c>
      <c r="D1180" s="195">
        <v>365</v>
      </c>
      <c r="E1180" s="195" t="s">
        <v>373</v>
      </c>
      <c r="F1180" s="71" t="s">
        <v>508</v>
      </c>
      <c r="G1180" s="71" t="s">
        <v>1467</v>
      </c>
      <c r="H1180" s="71" t="s">
        <v>1401</v>
      </c>
      <c r="I1180" s="71" t="s">
        <v>1383</v>
      </c>
    </row>
    <row r="1181" spans="1:9" ht="43.5" x14ac:dyDescent="0.35">
      <c r="A1181" s="195">
        <v>7</v>
      </c>
      <c r="B1181" s="195">
        <v>231</v>
      </c>
      <c r="C1181" s="195" t="s">
        <v>1618</v>
      </c>
      <c r="D1181" s="195">
        <v>105</v>
      </c>
      <c r="E1181" s="195" t="s">
        <v>373</v>
      </c>
      <c r="F1181" s="71" t="s">
        <v>508</v>
      </c>
      <c r="G1181" s="71" t="s">
        <v>1467</v>
      </c>
      <c r="H1181" s="71" t="s">
        <v>1401</v>
      </c>
      <c r="I1181" s="71" t="s">
        <v>1385</v>
      </c>
    </row>
    <row r="1182" spans="1:9" ht="43.5" x14ac:dyDescent="0.35">
      <c r="A1182" s="195">
        <v>7</v>
      </c>
      <c r="B1182" s="195">
        <v>232</v>
      </c>
      <c r="C1182" s="195" t="s">
        <v>1619</v>
      </c>
      <c r="D1182" s="195">
        <v>0</v>
      </c>
      <c r="E1182" s="195" t="s">
        <v>373</v>
      </c>
      <c r="F1182" s="71" t="s">
        <v>508</v>
      </c>
      <c r="G1182" s="71" t="s">
        <v>1467</v>
      </c>
      <c r="H1182" s="71" t="s">
        <v>1401</v>
      </c>
      <c r="I1182" s="71" t="s">
        <v>1387</v>
      </c>
    </row>
    <row r="1183" spans="1:9" ht="43.5" x14ac:dyDescent="0.35">
      <c r="A1183" s="195">
        <v>7</v>
      </c>
      <c r="B1183" s="195">
        <v>233</v>
      </c>
      <c r="C1183" s="195" t="s">
        <v>1620</v>
      </c>
      <c r="D1183" s="64">
        <v>24370</v>
      </c>
      <c r="E1183" s="195" t="s">
        <v>366</v>
      </c>
      <c r="F1183" s="71" t="s">
        <v>508</v>
      </c>
      <c r="G1183" s="71" t="s">
        <v>1467</v>
      </c>
      <c r="H1183" s="71" t="s">
        <v>1407</v>
      </c>
      <c r="I1183" s="71" t="s">
        <v>1374</v>
      </c>
    </row>
    <row r="1184" spans="1:9" ht="43.5" x14ac:dyDescent="0.35">
      <c r="A1184" s="195">
        <v>7</v>
      </c>
      <c r="B1184" s="195">
        <v>234</v>
      </c>
      <c r="C1184" s="195" t="s">
        <v>1621</v>
      </c>
      <c r="D1184" s="64">
        <v>17600</v>
      </c>
      <c r="E1184" s="195" t="s">
        <v>373</v>
      </c>
      <c r="F1184" s="71" t="s">
        <v>508</v>
      </c>
      <c r="G1184" s="71" t="s">
        <v>1467</v>
      </c>
      <c r="H1184" s="71" t="s">
        <v>1407</v>
      </c>
      <c r="I1184" s="71" t="s">
        <v>1381</v>
      </c>
    </row>
    <row r="1185" spans="1:9" ht="43.5" x14ac:dyDescent="0.35">
      <c r="A1185" s="195">
        <v>7</v>
      </c>
      <c r="B1185" s="195">
        <v>235</v>
      </c>
      <c r="C1185" s="195" t="s">
        <v>1622</v>
      </c>
      <c r="D1185" s="64">
        <v>6275</v>
      </c>
      <c r="E1185" s="195" t="s">
        <v>373</v>
      </c>
      <c r="F1185" s="71" t="s">
        <v>508</v>
      </c>
      <c r="G1185" s="71" t="s">
        <v>1467</v>
      </c>
      <c r="H1185" s="71" t="s">
        <v>1407</v>
      </c>
      <c r="I1185" s="71" t="s">
        <v>1383</v>
      </c>
    </row>
    <row r="1186" spans="1:9" ht="43.5" x14ac:dyDescent="0.35">
      <c r="A1186" s="195">
        <v>7</v>
      </c>
      <c r="B1186" s="195">
        <v>236</v>
      </c>
      <c r="C1186" s="195" t="s">
        <v>1623</v>
      </c>
      <c r="D1186" s="195">
        <v>490</v>
      </c>
      <c r="E1186" s="195" t="s">
        <v>373</v>
      </c>
      <c r="F1186" s="71" t="s">
        <v>508</v>
      </c>
      <c r="G1186" s="71" t="s">
        <v>1467</v>
      </c>
      <c r="H1186" s="71" t="s">
        <v>1407</v>
      </c>
      <c r="I1186" s="71" t="s">
        <v>1385</v>
      </c>
    </row>
    <row r="1187" spans="1:9" ht="43.5" x14ac:dyDescent="0.35">
      <c r="A1187" s="195">
        <v>7</v>
      </c>
      <c r="B1187" s="195">
        <v>237</v>
      </c>
      <c r="C1187" s="195" t="s">
        <v>1624</v>
      </c>
      <c r="D1187" s="195">
        <v>0</v>
      </c>
      <c r="E1187" s="195" t="s">
        <v>373</v>
      </c>
      <c r="F1187" s="71" t="s">
        <v>508</v>
      </c>
      <c r="G1187" s="71" t="s">
        <v>1467</v>
      </c>
      <c r="H1187" s="71" t="s">
        <v>1407</v>
      </c>
      <c r="I1187" s="71" t="s">
        <v>1387</v>
      </c>
    </row>
    <row r="1188" spans="1:9" ht="43.5" x14ac:dyDescent="0.35">
      <c r="A1188" s="195">
        <v>7</v>
      </c>
      <c r="B1188" s="195">
        <v>238</v>
      </c>
      <c r="C1188" s="195" t="s">
        <v>1625</v>
      </c>
      <c r="D1188" s="64">
        <v>146785</v>
      </c>
      <c r="E1188" s="195" t="s">
        <v>366</v>
      </c>
      <c r="F1188" s="71" t="s">
        <v>508</v>
      </c>
      <c r="G1188" s="71" t="s">
        <v>1494</v>
      </c>
      <c r="H1188" s="71" t="s">
        <v>982</v>
      </c>
      <c r="I1188" s="71" t="s">
        <v>1374</v>
      </c>
    </row>
    <row r="1189" spans="1:9" ht="43.5" x14ac:dyDescent="0.35">
      <c r="A1189" s="195">
        <v>7</v>
      </c>
      <c r="B1189" s="195">
        <v>239</v>
      </c>
      <c r="C1189" s="195" t="s">
        <v>1626</v>
      </c>
      <c r="D1189" s="64">
        <v>3880</v>
      </c>
      <c r="E1189" s="195" t="s">
        <v>366</v>
      </c>
      <c r="F1189" s="71" t="s">
        <v>508</v>
      </c>
      <c r="G1189" s="71" t="s">
        <v>1494</v>
      </c>
      <c r="H1189" s="71" t="s">
        <v>1379</v>
      </c>
      <c r="I1189" s="71" t="s">
        <v>1374</v>
      </c>
    </row>
    <row r="1190" spans="1:9" ht="43.5" x14ac:dyDescent="0.35">
      <c r="A1190" s="195">
        <v>7</v>
      </c>
      <c r="B1190" s="195">
        <v>240</v>
      </c>
      <c r="C1190" s="195" t="s">
        <v>1627</v>
      </c>
      <c r="D1190" s="64">
        <v>3565</v>
      </c>
      <c r="E1190" s="195" t="s">
        <v>373</v>
      </c>
      <c r="F1190" s="71" t="s">
        <v>508</v>
      </c>
      <c r="G1190" s="71" t="s">
        <v>1494</v>
      </c>
      <c r="H1190" s="71" t="s">
        <v>1379</v>
      </c>
      <c r="I1190" s="71" t="s">
        <v>1381</v>
      </c>
    </row>
    <row r="1191" spans="1:9" ht="43.5" x14ac:dyDescent="0.35">
      <c r="A1191" s="195">
        <v>7</v>
      </c>
      <c r="B1191" s="195">
        <v>241</v>
      </c>
      <c r="C1191" s="195" t="s">
        <v>1628</v>
      </c>
      <c r="D1191" s="195">
        <v>295</v>
      </c>
      <c r="E1191" s="195" t="s">
        <v>373</v>
      </c>
      <c r="F1191" s="71" t="s">
        <v>508</v>
      </c>
      <c r="G1191" s="71" t="s">
        <v>1494</v>
      </c>
      <c r="H1191" s="71" t="s">
        <v>1379</v>
      </c>
      <c r="I1191" s="71" t="s">
        <v>1383</v>
      </c>
    </row>
    <row r="1192" spans="1:9" ht="43.5" x14ac:dyDescent="0.35">
      <c r="A1192" s="195">
        <v>7</v>
      </c>
      <c r="B1192" s="195">
        <v>242</v>
      </c>
      <c r="C1192" s="195" t="s">
        <v>1629</v>
      </c>
      <c r="D1192" s="195">
        <v>15</v>
      </c>
      <c r="E1192" s="195" t="s">
        <v>373</v>
      </c>
      <c r="F1192" s="71" t="s">
        <v>508</v>
      </c>
      <c r="G1192" s="71" t="s">
        <v>1494</v>
      </c>
      <c r="H1192" s="71" t="s">
        <v>1379</v>
      </c>
      <c r="I1192" s="71" t="s">
        <v>1385</v>
      </c>
    </row>
    <row r="1193" spans="1:9" ht="43.5" x14ac:dyDescent="0.35">
      <c r="A1193" s="195">
        <v>7</v>
      </c>
      <c r="B1193" s="195">
        <v>243</v>
      </c>
      <c r="C1193" s="195" t="s">
        <v>1630</v>
      </c>
      <c r="D1193" s="195">
        <v>0</v>
      </c>
      <c r="E1193" s="195" t="s">
        <v>373</v>
      </c>
      <c r="F1193" s="71" t="s">
        <v>508</v>
      </c>
      <c r="G1193" s="71" t="s">
        <v>1494</v>
      </c>
      <c r="H1193" s="71" t="s">
        <v>1379</v>
      </c>
      <c r="I1193" s="71" t="s">
        <v>1387</v>
      </c>
    </row>
    <row r="1194" spans="1:9" ht="58" x14ac:dyDescent="0.35">
      <c r="A1194" s="195">
        <v>7</v>
      </c>
      <c r="B1194" s="195">
        <v>244</v>
      </c>
      <c r="C1194" s="195" t="s">
        <v>1631</v>
      </c>
      <c r="D1194" s="64">
        <v>49405</v>
      </c>
      <c r="E1194" s="195" t="s">
        <v>366</v>
      </c>
      <c r="F1194" s="71" t="s">
        <v>508</v>
      </c>
      <c r="G1194" s="71" t="s">
        <v>1494</v>
      </c>
      <c r="H1194" s="71" t="s">
        <v>1389</v>
      </c>
      <c r="I1194" s="71" t="s">
        <v>1374</v>
      </c>
    </row>
    <row r="1195" spans="1:9" ht="58" x14ac:dyDescent="0.35">
      <c r="A1195" s="195">
        <v>7</v>
      </c>
      <c r="B1195" s="195">
        <v>245</v>
      </c>
      <c r="C1195" s="195" t="s">
        <v>1632</v>
      </c>
      <c r="D1195" s="64">
        <v>47670</v>
      </c>
      <c r="E1195" s="195" t="s">
        <v>373</v>
      </c>
      <c r="F1195" s="71" t="s">
        <v>508</v>
      </c>
      <c r="G1195" s="71" t="s">
        <v>1494</v>
      </c>
      <c r="H1195" s="71" t="s">
        <v>1389</v>
      </c>
      <c r="I1195" s="71" t="s">
        <v>1381</v>
      </c>
    </row>
    <row r="1196" spans="1:9" ht="58" x14ac:dyDescent="0.35">
      <c r="A1196" s="195">
        <v>7</v>
      </c>
      <c r="B1196" s="195">
        <v>246</v>
      </c>
      <c r="C1196" s="195" t="s">
        <v>1633</v>
      </c>
      <c r="D1196" s="64">
        <v>1710</v>
      </c>
      <c r="E1196" s="195" t="s">
        <v>373</v>
      </c>
      <c r="F1196" s="71" t="s">
        <v>508</v>
      </c>
      <c r="G1196" s="71" t="s">
        <v>1494</v>
      </c>
      <c r="H1196" s="71" t="s">
        <v>1389</v>
      </c>
      <c r="I1196" s="71" t="s">
        <v>1383</v>
      </c>
    </row>
    <row r="1197" spans="1:9" ht="58" x14ac:dyDescent="0.35">
      <c r="A1197" s="195">
        <v>7</v>
      </c>
      <c r="B1197" s="195">
        <v>247</v>
      </c>
      <c r="C1197" s="195" t="s">
        <v>1634</v>
      </c>
      <c r="D1197" s="195">
        <v>25</v>
      </c>
      <c r="E1197" s="195" t="s">
        <v>373</v>
      </c>
      <c r="F1197" s="71" t="s">
        <v>508</v>
      </c>
      <c r="G1197" s="71" t="s">
        <v>1494</v>
      </c>
      <c r="H1197" s="71" t="s">
        <v>1389</v>
      </c>
      <c r="I1197" s="71" t="s">
        <v>1385</v>
      </c>
    </row>
    <row r="1198" spans="1:9" ht="58" x14ac:dyDescent="0.35">
      <c r="A1198" s="195">
        <v>7</v>
      </c>
      <c r="B1198" s="195">
        <v>248</v>
      </c>
      <c r="C1198" s="195" t="s">
        <v>1635</v>
      </c>
      <c r="D1198" s="195">
        <v>0</v>
      </c>
      <c r="E1198" s="195" t="s">
        <v>373</v>
      </c>
      <c r="F1198" s="71" t="s">
        <v>508</v>
      </c>
      <c r="G1198" s="71" t="s">
        <v>1494</v>
      </c>
      <c r="H1198" s="71" t="s">
        <v>1389</v>
      </c>
      <c r="I1198" s="71" t="s">
        <v>1387</v>
      </c>
    </row>
    <row r="1199" spans="1:9" ht="43.5" x14ac:dyDescent="0.35">
      <c r="A1199" s="195">
        <v>7</v>
      </c>
      <c r="B1199" s="195">
        <v>249</v>
      </c>
      <c r="C1199" s="195" t="s">
        <v>1636</v>
      </c>
      <c r="D1199" s="64">
        <v>3760</v>
      </c>
      <c r="E1199" s="195" t="s">
        <v>366</v>
      </c>
      <c r="F1199" s="71" t="s">
        <v>508</v>
      </c>
      <c r="G1199" s="71" t="s">
        <v>1494</v>
      </c>
      <c r="H1199" s="71" t="s">
        <v>1395</v>
      </c>
      <c r="I1199" s="71" t="s">
        <v>1374</v>
      </c>
    </row>
    <row r="1200" spans="1:9" ht="43.5" x14ac:dyDescent="0.35">
      <c r="A1200" s="195">
        <v>7</v>
      </c>
      <c r="B1200" s="195">
        <v>250</v>
      </c>
      <c r="C1200" s="195" t="s">
        <v>1637</v>
      </c>
      <c r="D1200" s="64">
        <v>3695</v>
      </c>
      <c r="E1200" s="195" t="s">
        <v>373</v>
      </c>
      <c r="F1200" s="71" t="s">
        <v>508</v>
      </c>
      <c r="G1200" s="71" t="s">
        <v>1494</v>
      </c>
      <c r="H1200" s="71" t="s">
        <v>1395</v>
      </c>
      <c r="I1200" s="71" t="s">
        <v>1381</v>
      </c>
    </row>
    <row r="1201" spans="1:9" ht="43.5" x14ac:dyDescent="0.35">
      <c r="A1201" s="195">
        <v>7</v>
      </c>
      <c r="B1201" s="195">
        <v>251</v>
      </c>
      <c r="C1201" s="195" t="s">
        <v>1638</v>
      </c>
      <c r="D1201" s="195">
        <v>55</v>
      </c>
      <c r="E1201" s="195" t="s">
        <v>373</v>
      </c>
      <c r="F1201" s="71" t="s">
        <v>508</v>
      </c>
      <c r="G1201" s="71" t="s">
        <v>1494</v>
      </c>
      <c r="H1201" s="71" t="s">
        <v>1395</v>
      </c>
      <c r="I1201" s="71" t="s">
        <v>1383</v>
      </c>
    </row>
    <row r="1202" spans="1:9" ht="43.5" x14ac:dyDescent="0.35">
      <c r="A1202" s="195">
        <v>7</v>
      </c>
      <c r="B1202" s="195">
        <v>252</v>
      </c>
      <c r="C1202" s="195" t="s">
        <v>1639</v>
      </c>
      <c r="D1202" s="195">
        <v>4</v>
      </c>
      <c r="E1202" s="195" t="s">
        <v>373</v>
      </c>
      <c r="F1202" s="71" t="s">
        <v>508</v>
      </c>
      <c r="G1202" s="71" t="s">
        <v>1494</v>
      </c>
      <c r="H1202" s="71" t="s">
        <v>1395</v>
      </c>
      <c r="I1202" s="71" t="s">
        <v>1385</v>
      </c>
    </row>
    <row r="1203" spans="1:9" ht="43.5" x14ac:dyDescent="0.35">
      <c r="A1203" s="195">
        <v>7</v>
      </c>
      <c r="B1203" s="195">
        <v>253</v>
      </c>
      <c r="C1203" s="195" t="s">
        <v>1640</v>
      </c>
      <c r="D1203" s="195">
        <v>0</v>
      </c>
      <c r="E1203" s="195" t="s">
        <v>373</v>
      </c>
      <c r="F1203" s="71" t="s">
        <v>508</v>
      </c>
      <c r="G1203" s="71" t="s">
        <v>1494</v>
      </c>
      <c r="H1203" s="71" t="s">
        <v>1395</v>
      </c>
      <c r="I1203" s="71" t="s">
        <v>1387</v>
      </c>
    </row>
    <row r="1204" spans="1:9" ht="43.5" x14ac:dyDescent="0.35">
      <c r="A1204" s="195">
        <v>7</v>
      </c>
      <c r="B1204" s="195">
        <v>254</v>
      </c>
      <c r="C1204" s="195" t="s">
        <v>1641</v>
      </c>
      <c r="D1204" s="64">
        <v>4530</v>
      </c>
      <c r="E1204" s="195" t="s">
        <v>366</v>
      </c>
      <c r="F1204" s="71" t="s">
        <v>508</v>
      </c>
      <c r="G1204" s="71" t="s">
        <v>1494</v>
      </c>
      <c r="H1204" s="71" t="s">
        <v>1401</v>
      </c>
      <c r="I1204" s="71" t="s">
        <v>1374</v>
      </c>
    </row>
    <row r="1205" spans="1:9" ht="43.5" x14ac:dyDescent="0.35">
      <c r="A1205" s="195">
        <v>7</v>
      </c>
      <c r="B1205" s="195">
        <v>255</v>
      </c>
      <c r="C1205" s="195" t="s">
        <v>1642</v>
      </c>
      <c r="D1205" s="64">
        <v>4100</v>
      </c>
      <c r="E1205" s="195" t="s">
        <v>373</v>
      </c>
      <c r="F1205" s="71" t="s">
        <v>508</v>
      </c>
      <c r="G1205" s="71" t="s">
        <v>1494</v>
      </c>
      <c r="H1205" s="71" t="s">
        <v>1401</v>
      </c>
      <c r="I1205" s="71" t="s">
        <v>1381</v>
      </c>
    </row>
    <row r="1206" spans="1:9" ht="43.5" x14ac:dyDescent="0.35">
      <c r="A1206" s="195">
        <v>7</v>
      </c>
      <c r="B1206" s="195">
        <v>256</v>
      </c>
      <c r="C1206" s="195" t="s">
        <v>1643</v>
      </c>
      <c r="D1206" s="195">
        <v>370</v>
      </c>
      <c r="E1206" s="195" t="s">
        <v>373</v>
      </c>
      <c r="F1206" s="71" t="s">
        <v>508</v>
      </c>
      <c r="G1206" s="71" t="s">
        <v>1494</v>
      </c>
      <c r="H1206" s="71" t="s">
        <v>1401</v>
      </c>
      <c r="I1206" s="71" t="s">
        <v>1383</v>
      </c>
    </row>
    <row r="1207" spans="1:9" ht="43.5" x14ac:dyDescent="0.35">
      <c r="A1207" s="195">
        <v>7</v>
      </c>
      <c r="B1207" s="195">
        <v>257</v>
      </c>
      <c r="C1207" s="195" t="s">
        <v>1644</v>
      </c>
      <c r="D1207" s="195">
        <v>60</v>
      </c>
      <c r="E1207" s="195" t="s">
        <v>373</v>
      </c>
      <c r="F1207" s="71" t="s">
        <v>508</v>
      </c>
      <c r="G1207" s="71" t="s">
        <v>1494</v>
      </c>
      <c r="H1207" s="71" t="s">
        <v>1401</v>
      </c>
      <c r="I1207" s="71" t="s">
        <v>1385</v>
      </c>
    </row>
    <row r="1208" spans="1:9" ht="43.5" x14ac:dyDescent="0.35">
      <c r="A1208" s="195">
        <v>7</v>
      </c>
      <c r="B1208" s="195">
        <v>258</v>
      </c>
      <c r="C1208" s="195" t="s">
        <v>1645</v>
      </c>
      <c r="D1208" s="195">
        <v>0</v>
      </c>
      <c r="E1208" s="195" t="s">
        <v>373</v>
      </c>
      <c r="F1208" s="71" t="s">
        <v>508</v>
      </c>
      <c r="G1208" s="71" t="s">
        <v>1494</v>
      </c>
      <c r="H1208" s="71" t="s">
        <v>1401</v>
      </c>
      <c r="I1208" s="71" t="s">
        <v>1387</v>
      </c>
    </row>
    <row r="1209" spans="1:9" ht="43.5" x14ac:dyDescent="0.35">
      <c r="A1209" s="195">
        <v>7</v>
      </c>
      <c r="B1209" s="195">
        <v>259</v>
      </c>
      <c r="C1209" s="195" t="s">
        <v>1646</v>
      </c>
      <c r="D1209" s="64">
        <v>85215</v>
      </c>
      <c r="E1209" s="195" t="s">
        <v>366</v>
      </c>
      <c r="F1209" s="71" t="s">
        <v>508</v>
      </c>
      <c r="G1209" s="71" t="s">
        <v>1494</v>
      </c>
      <c r="H1209" s="71" t="s">
        <v>1407</v>
      </c>
      <c r="I1209" s="71" t="s">
        <v>4176</v>
      </c>
    </row>
    <row r="1210" spans="1:9" ht="43.5" x14ac:dyDescent="0.35">
      <c r="A1210" s="195">
        <v>7</v>
      </c>
      <c r="B1210" s="195">
        <v>260</v>
      </c>
      <c r="C1210" s="195" t="s">
        <v>1648</v>
      </c>
      <c r="D1210" s="64">
        <v>80045</v>
      </c>
      <c r="E1210" s="195" t="s">
        <v>373</v>
      </c>
      <c r="F1210" s="71" t="s">
        <v>508</v>
      </c>
      <c r="G1210" s="71" t="s">
        <v>1494</v>
      </c>
      <c r="H1210" s="71" t="s">
        <v>1407</v>
      </c>
      <c r="I1210" s="71" t="s">
        <v>1381</v>
      </c>
    </row>
    <row r="1211" spans="1:9" ht="43.5" x14ac:dyDescent="0.35">
      <c r="A1211" s="195">
        <v>7</v>
      </c>
      <c r="B1211" s="195">
        <v>261</v>
      </c>
      <c r="C1211" s="195" t="s">
        <v>1649</v>
      </c>
      <c r="D1211" s="64">
        <v>5000</v>
      </c>
      <c r="E1211" s="195" t="s">
        <v>373</v>
      </c>
      <c r="F1211" s="71" t="s">
        <v>508</v>
      </c>
      <c r="G1211" s="71" t="s">
        <v>1494</v>
      </c>
      <c r="H1211" s="71" t="s">
        <v>1407</v>
      </c>
      <c r="I1211" s="71" t="s">
        <v>1383</v>
      </c>
    </row>
    <row r="1212" spans="1:9" ht="43.5" x14ac:dyDescent="0.35">
      <c r="A1212" s="195">
        <v>7</v>
      </c>
      <c r="B1212" s="195">
        <v>262</v>
      </c>
      <c r="C1212" s="195" t="s">
        <v>1650</v>
      </c>
      <c r="D1212" s="195">
        <v>170</v>
      </c>
      <c r="E1212" s="195" t="s">
        <v>373</v>
      </c>
      <c r="F1212" s="71" t="s">
        <v>508</v>
      </c>
      <c r="G1212" s="71" t="s">
        <v>1494</v>
      </c>
      <c r="H1212" s="71" t="s">
        <v>1407</v>
      </c>
      <c r="I1212" s="71" t="s">
        <v>1385</v>
      </c>
    </row>
    <row r="1213" spans="1:9" ht="43.5" x14ac:dyDescent="0.35">
      <c r="A1213" s="195">
        <v>7</v>
      </c>
      <c r="B1213" s="195">
        <v>263</v>
      </c>
      <c r="C1213" s="195" t="s">
        <v>1651</v>
      </c>
      <c r="D1213" s="195">
        <v>0</v>
      </c>
      <c r="E1213" s="195" t="s">
        <v>373</v>
      </c>
      <c r="F1213" s="71" t="s">
        <v>508</v>
      </c>
      <c r="G1213" s="71" t="s">
        <v>1494</v>
      </c>
      <c r="H1213" s="71" t="s">
        <v>1407</v>
      </c>
      <c r="I1213" s="71" t="s">
        <v>1387</v>
      </c>
    </row>
    <row r="1214" spans="1:9" ht="29" x14ac:dyDescent="0.35">
      <c r="A1214" s="195">
        <v>8</v>
      </c>
      <c r="B1214" s="195">
        <v>1</v>
      </c>
      <c r="C1214" s="195" t="s">
        <v>1652</v>
      </c>
      <c r="D1214" s="64">
        <v>1042580</v>
      </c>
      <c r="E1214" s="195" t="s">
        <v>26</v>
      </c>
      <c r="F1214" s="71" t="s">
        <v>361</v>
      </c>
      <c r="G1214" s="71" t="s">
        <v>363</v>
      </c>
      <c r="H1214" s="71" t="s">
        <v>1374</v>
      </c>
      <c r="I1214" s="71" t="s">
        <v>1653</v>
      </c>
    </row>
    <row r="1215" spans="1:9" x14ac:dyDescent="0.35">
      <c r="A1215" s="195">
        <v>8</v>
      </c>
      <c r="B1215" s="195">
        <v>2</v>
      </c>
      <c r="C1215" s="195" t="s">
        <v>1654</v>
      </c>
      <c r="D1215" s="64">
        <v>459890</v>
      </c>
      <c r="E1215" s="195" t="s">
        <v>366</v>
      </c>
      <c r="F1215" s="71" t="s">
        <v>367</v>
      </c>
      <c r="G1215" s="71" t="s">
        <v>363</v>
      </c>
      <c r="H1215" s="71" t="s">
        <v>1374</v>
      </c>
      <c r="I1215" s="71" t="s">
        <v>1653</v>
      </c>
    </row>
    <row r="1216" spans="1:9" ht="29" x14ac:dyDescent="0.35">
      <c r="A1216" s="195">
        <v>8</v>
      </c>
      <c r="B1216" s="195">
        <v>3</v>
      </c>
      <c r="C1216" s="195" t="s">
        <v>1655</v>
      </c>
      <c r="D1216" s="64">
        <v>48445</v>
      </c>
      <c r="E1216" s="195" t="s">
        <v>366</v>
      </c>
      <c r="F1216" s="71" t="s">
        <v>367</v>
      </c>
      <c r="G1216" s="71" t="s">
        <v>371</v>
      </c>
      <c r="H1216" s="71" t="s">
        <v>1374</v>
      </c>
      <c r="I1216" s="71" t="s">
        <v>1653</v>
      </c>
    </row>
    <row r="1217" spans="1:9" ht="29" x14ac:dyDescent="0.35">
      <c r="A1217" s="195">
        <v>8</v>
      </c>
      <c r="B1217" s="195">
        <v>4</v>
      </c>
      <c r="C1217" s="195" t="s">
        <v>1656</v>
      </c>
      <c r="D1217" s="64">
        <v>4730</v>
      </c>
      <c r="E1217" s="195" t="s">
        <v>366</v>
      </c>
      <c r="F1217" s="71" t="s">
        <v>367</v>
      </c>
      <c r="G1217" s="71" t="s">
        <v>371</v>
      </c>
      <c r="H1217" s="71" t="s">
        <v>1657</v>
      </c>
      <c r="I1217" s="71" t="s">
        <v>1653</v>
      </c>
    </row>
    <row r="1218" spans="1:9" ht="43.5" x14ac:dyDescent="0.35">
      <c r="A1218" s="195">
        <v>8</v>
      </c>
      <c r="B1218" s="195">
        <v>5</v>
      </c>
      <c r="C1218" s="195" t="s">
        <v>1658</v>
      </c>
      <c r="D1218" s="195">
        <v>60</v>
      </c>
      <c r="E1218" s="195" t="s">
        <v>373</v>
      </c>
      <c r="F1218" s="71" t="s">
        <v>367</v>
      </c>
      <c r="G1218" s="71" t="s">
        <v>371</v>
      </c>
      <c r="H1218" s="71" t="s">
        <v>1657</v>
      </c>
      <c r="I1218" s="71" t="s">
        <v>1659</v>
      </c>
    </row>
    <row r="1219" spans="1:9" ht="43.5" x14ac:dyDescent="0.35">
      <c r="A1219" s="195">
        <v>8</v>
      </c>
      <c r="B1219" s="195">
        <v>6</v>
      </c>
      <c r="C1219" s="195" t="s">
        <v>1660</v>
      </c>
      <c r="D1219" s="64">
        <v>4670</v>
      </c>
      <c r="E1219" s="195" t="s">
        <v>373</v>
      </c>
      <c r="F1219" s="71" t="s">
        <v>367</v>
      </c>
      <c r="G1219" s="71" t="s">
        <v>371</v>
      </c>
      <c r="H1219" s="71" t="s">
        <v>1657</v>
      </c>
      <c r="I1219" s="71" t="s">
        <v>1661</v>
      </c>
    </row>
    <row r="1220" spans="1:9" ht="29" x14ac:dyDescent="0.35">
      <c r="A1220" s="195">
        <v>8</v>
      </c>
      <c r="B1220" s="195">
        <v>7</v>
      </c>
      <c r="C1220" s="195" t="s">
        <v>1662</v>
      </c>
      <c r="D1220" s="64">
        <v>6730</v>
      </c>
      <c r="E1220" s="195" t="s">
        <v>366</v>
      </c>
      <c r="F1220" s="71" t="s">
        <v>367</v>
      </c>
      <c r="G1220" s="71" t="s">
        <v>371</v>
      </c>
      <c r="H1220" s="71" t="s">
        <v>1663</v>
      </c>
      <c r="I1220" s="71" t="s">
        <v>1653</v>
      </c>
    </row>
    <row r="1221" spans="1:9" ht="43.5" x14ac:dyDescent="0.35">
      <c r="A1221" s="195">
        <v>8</v>
      </c>
      <c r="B1221" s="195">
        <v>8</v>
      </c>
      <c r="C1221" s="195" t="s">
        <v>1664</v>
      </c>
      <c r="D1221" s="195">
        <v>60</v>
      </c>
      <c r="E1221" s="195" t="s">
        <v>373</v>
      </c>
      <c r="F1221" s="71" t="s">
        <v>367</v>
      </c>
      <c r="G1221" s="71" t="s">
        <v>371</v>
      </c>
      <c r="H1221" s="71" t="s">
        <v>1663</v>
      </c>
      <c r="I1221" s="71" t="s">
        <v>1659</v>
      </c>
    </row>
    <row r="1222" spans="1:9" ht="43.5" x14ac:dyDescent="0.35">
      <c r="A1222" s="195">
        <v>8</v>
      </c>
      <c r="B1222" s="195">
        <v>9</v>
      </c>
      <c r="C1222" s="195" t="s">
        <v>1665</v>
      </c>
      <c r="D1222" s="64">
        <v>6670</v>
      </c>
      <c r="E1222" s="195" t="s">
        <v>373</v>
      </c>
      <c r="F1222" s="71" t="s">
        <v>367</v>
      </c>
      <c r="G1222" s="71" t="s">
        <v>371</v>
      </c>
      <c r="H1222" s="71" t="s">
        <v>1663</v>
      </c>
      <c r="I1222" s="71" t="s">
        <v>1661</v>
      </c>
    </row>
    <row r="1223" spans="1:9" ht="29" x14ac:dyDescent="0.35">
      <c r="A1223" s="195">
        <v>8</v>
      </c>
      <c r="B1223" s="195">
        <v>10</v>
      </c>
      <c r="C1223" s="195" t="s">
        <v>1666</v>
      </c>
      <c r="D1223" s="64">
        <v>32290</v>
      </c>
      <c r="E1223" s="195" t="s">
        <v>366</v>
      </c>
      <c r="F1223" s="71" t="s">
        <v>367</v>
      </c>
      <c r="G1223" s="71" t="s">
        <v>371</v>
      </c>
      <c r="H1223" s="71" t="s">
        <v>1667</v>
      </c>
      <c r="I1223" s="71" t="s">
        <v>1653</v>
      </c>
    </row>
    <row r="1224" spans="1:9" ht="43.5" x14ac:dyDescent="0.35">
      <c r="A1224" s="195">
        <v>8</v>
      </c>
      <c r="B1224" s="195">
        <v>11</v>
      </c>
      <c r="C1224" s="195" t="s">
        <v>1668</v>
      </c>
      <c r="D1224" s="195">
        <v>405</v>
      </c>
      <c r="E1224" s="195" t="s">
        <v>373</v>
      </c>
      <c r="F1224" s="71" t="s">
        <v>367</v>
      </c>
      <c r="G1224" s="71" t="s">
        <v>371</v>
      </c>
      <c r="H1224" s="71" t="s">
        <v>1667</v>
      </c>
      <c r="I1224" s="71" t="s">
        <v>1659</v>
      </c>
    </row>
    <row r="1225" spans="1:9" ht="43.5" x14ac:dyDescent="0.35">
      <c r="A1225" s="195">
        <v>8</v>
      </c>
      <c r="B1225" s="195">
        <v>12</v>
      </c>
      <c r="C1225" s="195" t="s">
        <v>1669</v>
      </c>
      <c r="D1225" s="64">
        <v>31885</v>
      </c>
      <c r="E1225" s="195" t="s">
        <v>373</v>
      </c>
      <c r="F1225" s="71" t="s">
        <v>367</v>
      </c>
      <c r="G1225" s="71" t="s">
        <v>371</v>
      </c>
      <c r="H1225" s="71" t="s">
        <v>1667</v>
      </c>
      <c r="I1225" s="71" t="s">
        <v>1661</v>
      </c>
    </row>
    <row r="1226" spans="1:9" ht="29" x14ac:dyDescent="0.35">
      <c r="A1226" s="195">
        <v>8</v>
      </c>
      <c r="B1226" s="195">
        <v>13</v>
      </c>
      <c r="C1226" s="195" t="s">
        <v>1670</v>
      </c>
      <c r="D1226" s="64">
        <v>4695</v>
      </c>
      <c r="E1226" s="195" t="s">
        <v>366</v>
      </c>
      <c r="F1226" s="71" t="s">
        <v>367</v>
      </c>
      <c r="G1226" s="71" t="s">
        <v>371</v>
      </c>
      <c r="H1226" s="71" t="s">
        <v>1671</v>
      </c>
      <c r="I1226" s="71" t="s">
        <v>1653</v>
      </c>
    </row>
    <row r="1227" spans="1:9" ht="43.5" x14ac:dyDescent="0.35">
      <c r="A1227" s="195">
        <v>8</v>
      </c>
      <c r="B1227" s="195">
        <v>14</v>
      </c>
      <c r="C1227" s="195" t="s">
        <v>1672</v>
      </c>
      <c r="D1227" s="195">
        <v>80</v>
      </c>
      <c r="E1227" s="195" t="s">
        <v>373</v>
      </c>
      <c r="F1227" s="71" t="s">
        <v>367</v>
      </c>
      <c r="G1227" s="71" t="s">
        <v>371</v>
      </c>
      <c r="H1227" s="71" t="s">
        <v>1671</v>
      </c>
      <c r="I1227" s="71" t="s">
        <v>1659</v>
      </c>
    </row>
    <row r="1228" spans="1:9" ht="43.5" x14ac:dyDescent="0.35">
      <c r="A1228" s="195">
        <v>8</v>
      </c>
      <c r="B1228" s="195">
        <v>15</v>
      </c>
      <c r="C1228" s="195" t="s">
        <v>1673</v>
      </c>
      <c r="D1228" s="64">
        <v>4615</v>
      </c>
      <c r="E1228" s="195" t="s">
        <v>373</v>
      </c>
      <c r="F1228" s="71" t="s">
        <v>367</v>
      </c>
      <c r="G1228" s="71" t="s">
        <v>371</v>
      </c>
      <c r="H1228" s="71" t="s">
        <v>1671</v>
      </c>
      <c r="I1228" s="71" t="s">
        <v>1661</v>
      </c>
    </row>
    <row r="1229" spans="1:9" ht="43.5" x14ac:dyDescent="0.35">
      <c r="A1229" s="195">
        <v>8</v>
      </c>
      <c r="B1229" s="195">
        <v>16</v>
      </c>
      <c r="C1229" s="195" t="s">
        <v>1674</v>
      </c>
      <c r="D1229" s="64">
        <v>51695</v>
      </c>
      <c r="E1229" s="195" t="s">
        <v>366</v>
      </c>
      <c r="F1229" s="71" t="s">
        <v>367</v>
      </c>
      <c r="G1229" s="71" t="s">
        <v>388</v>
      </c>
      <c r="H1229" s="71" t="s">
        <v>1374</v>
      </c>
      <c r="I1229" s="71" t="s">
        <v>1653</v>
      </c>
    </row>
    <row r="1230" spans="1:9" ht="43.5" x14ac:dyDescent="0.35">
      <c r="A1230" s="195">
        <v>8</v>
      </c>
      <c r="B1230" s="195">
        <v>17</v>
      </c>
      <c r="C1230" s="195" t="s">
        <v>1675</v>
      </c>
      <c r="D1230" s="64">
        <v>17010</v>
      </c>
      <c r="E1230" s="195" t="s">
        <v>366</v>
      </c>
      <c r="F1230" s="71" t="s">
        <v>367</v>
      </c>
      <c r="G1230" s="71" t="s">
        <v>388</v>
      </c>
      <c r="H1230" s="71" t="s">
        <v>1657</v>
      </c>
      <c r="I1230" s="71" t="s">
        <v>1653</v>
      </c>
    </row>
    <row r="1231" spans="1:9" ht="43.5" x14ac:dyDescent="0.35">
      <c r="A1231" s="195">
        <v>8</v>
      </c>
      <c r="B1231" s="195">
        <v>18</v>
      </c>
      <c r="C1231" s="195" t="s">
        <v>1676</v>
      </c>
      <c r="D1231" s="195">
        <v>100</v>
      </c>
      <c r="E1231" s="195" t="s">
        <v>373</v>
      </c>
      <c r="F1231" s="71" t="s">
        <v>367</v>
      </c>
      <c r="G1231" s="71" t="s">
        <v>388</v>
      </c>
      <c r="H1231" s="71" t="s">
        <v>1657</v>
      </c>
      <c r="I1231" s="71" t="s">
        <v>1659</v>
      </c>
    </row>
    <row r="1232" spans="1:9" ht="43.5" x14ac:dyDescent="0.35">
      <c r="A1232" s="195">
        <v>8</v>
      </c>
      <c r="B1232" s="195">
        <v>19</v>
      </c>
      <c r="C1232" s="195" t="s">
        <v>1677</v>
      </c>
      <c r="D1232" s="64">
        <v>16910</v>
      </c>
      <c r="E1232" s="195" t="s">
        <v>373</v>
      </c>
      <c r="F1232" s="71" t="s">
        <v>367</v>
      </c>
      <c r="G1232" s="71" t="s">
        <v>388</v>
      </c>
      <c r="H1232" s="71" t="s">
        <v>1657</v>
      </c>
      <c r="I1232" s="71" t="s">
        <v>1661</v>
      </c>
    </row>
    <row r="1233" spans="1:9" ht="43.5" x14ac:dyDescent="0.35">
      <c r="A1233" s="195">
        <v>8</v>
      </c>
      <c r="B1233" s="195">
        <v>20</v>
      </c>
      <c r="C1233" s="195" t="s">
        <v>1678</v>
      </c>
      <c r="D1233" s="64">
        <v>15000</v>
      </c>
      <c r="E1233" s="195" t="s">
        <v>366</v>
      </c>
      <c r="F1233" s="71" t="s">
        <v>367</v>
      </c>
      <c r="G1233" s="71" t="s">
        <v>388</v>
      </c>
      <c r="H1233" s="71" t="s">
        <v>1663</v>
      </c>
      <c r="I1233" s="71" t="s">
        <v>1653</v>
      </c>
    </row>
    <row r="1234" spans="1:9" ht="43.5" x14ac:dyDescent="0.35">
      <c r="A1234" s="195">
        <v>8</v>
      </c>
      <c r="B1234" s="195">
        <v>21</v>
      </c>
      <c r="C1234" s="195" t="s">
        <v>1679</v>
      </c>
      <c r="D1234" s="195">
        <v>80</v>
      </c>
      <c r="E1234" s="195" t="s">
        <v>373</v>
      </c>
      <c r="F1234" s="71" t="s">
        <v>367</v>
      </c>
      <c r="G1234" s="71" t="s">
        <v>388</v>
      </c>
      <c r="H1234" s="71" t="s">
        <v>1663</v>
      </c>
      <c r="I1234" s="71" t="s">
        <v>1659</v>
      </c>
    </row>
    <row r="1235" spans="1:9" ht="43.5" x14ac:dyDescent="0.35">
      <c r="A1235" s="195">
        <v>8</v>
      </c>
      <c r="B1235" s="195">
        <v>22</v>
      </c>
      <c r="C1235" s="195" t="s">
        <v>1680</v>
      </c>
      <c r="D1235" s="64">
        <v>14920</v>
      </c>
      <c r="E1235" s="195" t="s">
        <v>373</v>
      </c>
      <c r="F1235" s="71" t="s">
        <v>367</v>
      </c>
      <c r="G1235" s="71" t="s">
        <v>388</v>
      </c>
      <c r="H1235" s="71" t="s">
        <v>1663</v>
      </c>
      <c r="I1235" s="71" t="s">
        <v>1661</v>
      </c>
    </row>
    <row r="1236" spans="1:9" ht="43.5" x14ac:dyDescent="0.35">
      <c r="A1236" s="195">
        <v>8</v>
      </c>
      <c r="B1236" s="195">
        <v>23</v>
      </c>
      <c r="C1236" s="195" t="s">
        <v>1681</v>
      </c>
      <c r="D1236" s="64">
        <v>19685</v>
      </c>
      <c r="E1236" s="195" t="s">
        <v>366</v>
      </c>
      <c r="F1236" s="71" t="s">
        <v>367</v>
      </c>
      <c r="G1236" s="71" t="s">
        <v>388</v>
      </c>
      <c r="H1236" s="71" t="s">
        <v>1667</v>
      </c>
      <c r="I1236" s="71" t="s">
        <v>1653</v>
      </c>
    </row>
    <row r="1237" spans="1:9" ht="43.5" x14ac:dyDescent="0.35">
      <c r="A1237" s="195">
        <v>8</v>
      </c>
      <c r="B1237" s="195">
        <v>24</v>
      </c>
      <c r="C1237" s="195" t="s">
        <v>1682</v>
      </c>
      <c r="D1237" s="195">
        <v>105</v>
      </c>
      <c r="E1237" s="195" t="s">
        <v>373</v>
      </c>
      <c r="F1237" s="71" t="s">
        <v>367</v>
      </c>
      <c r="G1237" s="71" t="s">
        <v>388</v>
      </c>
      <c r="H1237" s="71" t="s">
        <v>1667</v>
      </c>
      <c r="I1237" s="71" t="s">
        <v>1659</v>
      </c>
    </row>
    <row r="1238" spans="1:9" ht="43.5" x14ac:dyDescent="0.35">
      <c r="A1238" s="195">
        <v>8</v>
      </c>
      <c r="B1238" s="195">
        <v>25</v>
      </c>
      <c r="C1238" s="195" t="s">
        <v>1683</v>
      </c>
      <c r="D1238" s="64">
        <v>19580</v>
      </c>
      <c r="E1238" s="195" t="s">
        <v>373</v>
      </c>
      <c r="F1238" s="71" t="s">
        <v>367</v>
      </c>
      <c r="G1238" s="71" t="s">
        <v>388</v>
      </c>
      <c r="H1238" s="71" t="s">
        <v>1667</v>
      </c>
      <c r="I1238" s="71" t="s">
        <v>1661</v>
      </c>
    </row>
    <row r="1239" spans="1:9" ht="43.5" x14ac:dyDescent="0.35">
      <c r="A1239" s="195">
        <v>8</v>
      </c>
      <c r="B1239" s="195">
        <v>26</v>
      </c>
      <c r="C1239" s="195" t="s">
        <v>1684</v>
      </c>
      <c r="D1239" s="195">
        <v>0</v>
      </c>
      <c r="E1239" s="195" t="s">
        <v>366</v>
      </c>
      <c r="F1239" s="71" t="s">
        <v>367</v>
      </c>
      <c r="G1239" s="71" t="s">
        <v>388</v>
      </c>
      <c r="H1239" s="71" t="s">
        <v>1671</v>
      </c>
      <c r="I1239" s="71" t="s">
        <v>1653</v>
      </c>
    </row>
    <row r="1240" spans="1:9" ht="43.5" x14ac:dyDescent="0.35">
      <c r="A1240" s="195">
        <v>8</v>
      </c>
      <c r="B1240" s="195">
        <v>27</v>
      </c>
      <c r="C1240" s="195" t="s">
        <v>1685</v>
      </c>
      <c r="D1240" s="195">
        <v>0</v>
      </c>
      <c r="E1240" s="195" t="s">
        <v>373</v>
      </c>
      <c r="F1240" s="71" t="s">
        <v>367</v>
      </c>
      <c r="G1240" s="71" t="s">
        <v>388</v>
      </c>
      <c r="H1240" s="71" t="s">
        <v>1671</v>
      </c>
      <c r="I1240" s="71" t="s">
        <v>1659</v>
      </c>
    </row>
    <row r="1241" spans="1:9" ht="43.5" x14ac:dyDescent="0.35">
      <c r="A1241" s="195">
        <v>8</v>
      </c>
      <c r="B1241" s="195">
        <v>28</v>
      </c>
      <c r="C1241" s="195" t="s">
        <v>1686</v>
      </c>
      <c r="D1241" s="195">
        <v>0</v>
      </c>
      <c r="E1241" s="195" t="s">
        <v>373</v>
      </c>
      <c r="F1241" s="71" t="s">
        <v>367</v>
      </c>
      <c r="G1241" s="71" t="s">
        <v>388</v>
      </c>
      <c r="H1241" s="71" t="s">
        <v>1671</v>
      </c>
      <c r="I1241" s="71" t="s">
        <v>1661</v>
      </c>
    </row>
    <row r="1242" spans="1:9" ht="43.5" x14ac:dyDescent="0.35">
      <c r="A1242" s="195">
        <v>8</v>
      </c>
      <c r="B1242" s="195">
        <v>29</v>
      </c>
      <c r="C1242" s="195" t="s">
        <v>1687</v>
      </c>
      <c r="D1242" s="64">
        <v>71225</v>
      </c>
      <c r="E1242" s="195" t="s">
        <v>366</v>
      </c>
      <c r="F1242" s="71" t="s">
        <v>367</v>
      </c>
      <c r="G1242" s="71" t="s">
        <v>397</v>
      </c>
      <c r="H1242" s="71" t="s">
        <v>1374</v>
      </c>
      <c r="I1242" s="71" t="s">
        <v>1653</v>
      </c>
    </row>
    <row r="1243" spans="1:9" ht="43.5" x14ac:dyDescent="0.35">
      <c r="A1243" s="195">
        <v>8</v>
      </c>
      <c r="B1243" s="195">
        <v>30</v>
      </c>
      <c r="C1243" s="195" t="s">
        <v>1688</v>
      </c>
      <c r="D1243" s="64">
        <v>35880</v>
      </c>
      <c r="E1243" s="195" t="s">
        <v>366</v>
      </c>
      <c r="F1243" s="71" t="s">
        <v>367</v>
      </c>
      <c r="G1243" s="71" t="s">
        <v>397</v>
      </c>
      <c r="H1243" s="71" t="s">
        <v>1657</v>
      </c>
      <c r="I1243" s="71" t="s">
        <v>1653</v>
      </c>
    </row>
    <row r="1244" spans="1:9" ht="43.5" x14ac:dyDescent="0.35">
      <c r="A1244" s="195">
        <v>8</v>
      </c>
      <c r="B1244" s="195">
        <v>31</v>
      </c>
      <c r="C1244" s="195" t="s">
        <v>1689</v>
      </c>
      <c r="D1244" s="195">
        <v>165</v>
      </c>
      <c r="E1244" s="195" t="s">
        <v>373</v>
      </c>
      <c r="F1244" s="71" t="s">
        <v>367</v>
      </c>
      <c r="G1244" s="71" t="s">
        <v>397</v>
      </c>
      <c r="H1244" s="71" t="s">
        <v>1657</v>
      </c>
      <c r="I1244" s="71" t="s">
        <v>1659</v>
      </c>
    </row>
    <row r="1245" spans="1:9" ht="43.5" x14ac:dyDescent="0.35">
      <c r="A1245" s="195">
        <v>8</v>
      </c>
      <c r="B1245" s="195">
        <v>32</v>
      </c>
      <c r="C1245" s="195" t="s">
        <v>1690</v>
      </c>
      <c r="D1245" s="64">
        <v>35715</v>
      </c>
      <c r="E1245" s="195" t="s">
        <v>373</v>
      </c>
      <c r="F1245" s="71" t="s">
        <v>367</v>
      </c>
      <c r="G1245" s="71" t="s">
        <v>397</v>
      </c>
      <c r="H1245" s="71" t="s">
        <v>1657</v>
      </c>
      <c r="I1245" s="71" t="s">
        <v>1661</v>
      </c>
    </row>
    <row r="1246" spans="1:9" ht="43.5" x14ac:dyDescent="0.35">
      <c r="A1246" s="195">
        <v>8</v>
      </c>
      <c r="B1246" s="195">
        <v>33</v>
      </c>
      <c r="C1246" s="195" t="s">
        <v>1691</v>
      </c>
      <c r="D1246" s="64">
        <v>23095</v>
      </c>
      <c r="E1246" s="195" t="s">
        <v>366</v>
      </c>
      <c r="F1246" s="71" t="s">
        <v>367</v>
      </c>
      <c r="G1246" s="71" t="s">
        <v>397</v>
      </c>
      <c r="H1246" s="71" t="s">
        <v>1663</v>
      </c>
      <c r="I1246" s="71" t="s">
        <v>1653</v>
      </c>
    </row>
    <row r="1247" spans="1:9" ht="43.5" x14ac:dyDescent="0.35">
      <c r="A1247" s="195">
        <v>8</v>
      </c>
      <c r="B1247" s="195">
        <v>34</v>
      </c>
      <c r="C1247" s="195" t="s">
        <v>1692</v>
      </c>
      <c r="D1247" s="195">
        <v>85</v>
      </c>
      <c r="E1247" s="195" t="s">
        <v>373</v>
      </c>
      <c r="F1247" s="71" t="s">
        <v>367</v>
      </c>
      <c r="G1247" s="71" t="s">
        <v>397</v>
      </c>
      <c r="H1247" s="71" t="s">
        <v>1663</v>
      </c>
      <c r="I1247" s="71" t="s">
        <v>1659</v>
      </c>
    </row>
    <row r="1248" spans="1:9" ht="43.5" x14ac:dyDescent="0.35">
      <c r="A1248" s="195">
        <v>8</v>
      </c>
      <c r="B1248" s="195">
        <v>35</v>
      </c>
      <c r="C1248" s="195" t="s">
        <v>1693</v>
      </c>
      <c r="D1248" s="64">
        <v>23015</v>
      </c>
      <c r="E1248" s="195" t="s">
        <v>373</v>
      </c>
      <c r="F1248" s="71" t="s">
        <v>367</v>
      </c>
      <c r="G1248" s="71" t="s">
        <v>397</v>
      </c>
      <c r="H1248" s="71" t="s">
        <v>1663</v>
      </c>
      <c r="I1248" s="71" t="s">
        <v>1661</v>
      </c>
    </row>
    <row r="1249" spans="1:9" ht="43.5" x14ac:dyDescent="0.35">
      <c r="A1249" s="195">
        <v>8</v>
      </c>
      <c r="B1249" s="195">
        <v>36</v>
      </c>
      <c r="C1249" s="195" t="s">
        <v>1694</v>
      </c>
      <c r="D1249" s="64">
        <v>12250</v>
      </c>
      <c r="E1249" s="195" t="s">
        <v>366</v>
      </c>
      <c r="F1249" s="71" t="s">
        <v>367</v>
      </c>
      <c r="G1249" s="71" t="s">
        <v>397</v>
      </c>
      <c r="H1249" s="71" t="s">
        <v>1667</v>
      </c>
      <c r="I1249" s="71" t="s">
        <v>1653</v>
      </c>
    </row>
    <row r="1250" spans="1:9" ht="43.5" x14ac:dyDescent="0.35">
      <c r="A1250" s="195">
        <v>8</v>
      </c>
      <c r="B1250" s="195">
        <v>37</v>
      </c>
      <c r="C1250" s="195" t="s">
        <v>1695</v>
      </c>
      <c r="D1250" s="195">
        <v>70</v>
      </c>
      <c r="E1250" s="195" t="s">
        <v>373</v>
      </c>
      <c r="F1250" s="71" t="s">
        <v>367</v>
      </c>
      <c r="G1250" s="71" t="s">
        <v>397</v>
      </c>
      <c r="H1250" s="71" t="s">
        <v>1667</v>
      </c>
      <c r="I1250" s="71" t="s">
        <v>1659</v>
      </c>
    </row>
    <row r="1251" spans="1:9" ht="43.5" x14ac:dyDescent="0.35">
      <c r="A1251" s="195">
        <v>8</v>
      </c>
      <c r="B1251" s="195">
        <v>38</v>
      </c>
      <c r="C1251" s="195" t="s">
        <v>1696</v>
      </c>
      <c r="D1251" s="64">
        <v>12180</v>
      </c>
      <c r="E1251" s="195" t="s">
        <v>373</v>
      </c>
      <c r="F1251" s="71" t="s">
        <v>367</v>
      </c>
      <c r="G1251" s="71" t="s">
        <v>397</v>
      </c>
      <c r="H1251" s="71" t="s">
        <v>1667</v>
      </c>
      <c r="I1251" s="71" t="s">
        <v>1661</v>
      </c>
    </row>
    <row r="1252" spans="1:9" ht="43.5" x14ac:dyDescent="0.35">
      <c r="A1252" s="195">
        <v>8</v>
      </c>
      <c r="B1252" s="195">
        <v>39</v>
      </c>
      <c r="C1252" s="195" t="s">
        <v>1697</v>
      </c>
      <c r="D1252" s="195">
        <v>0</v>
      </c>
      <c r="E1252" s="195" t="s">
        <v>366</v>
      </c>
      <c r="F1252" s="71" t="s">
        <v>367</v>
      </c>
      <c r="G1252" s="71" t="s">
        <v>397</v>
      </c>
      <c r="H1252" s="71" t="s">
        <v>1671</v>
      </c>
      <c r="I1252" s="71" t="s">
        <v>1653</v>
      </c>
    </row>
    <row r="1253" spans="1:9" ht="43.5" x14ac:dyDescent="0.35">
      <c r="A1253" s="195">
        <v>8</v>
      </c>
      <c r="B1253" s="195">
        <v>40</v>
      </c>
      <c r="C1253" s="195" t="s">
        <v>1698</v>
      </c>
      <c r="D1253" s="195">
        <v>0</v>
      </c>
      <c r="E1253" s="195" t="s">
        <v>373</v>
      </c>
      <c r="F1253" s="71" t="s">
        <v>367</v>
      </c>
      <c r="G1253" s="71" t="s">
        <v>397</v>
      </c>
      <c r="H1253" s="71" t="s">
        <v>1671</v>
      </c>
      <c r="I1253" s="71" t="s">
        <v>1659</v>
      </c>
    </row>
    <row r="1254" spans="1:9" ht="43.5" x14ac:dyDescent="0.35">
      <c r="A1254" s="195">
        <v>8</v>
      </c>
      <c r="B1254" s="195">
        <v>41</v>
      </c>
      <c r="C1254" s="195" t="s">
        <v>1699</v>
      </c>
      <c r="D1254" s="195">
        <v>0</v>
      </c>
      <c r="E1254" s="195" t="s">
        <v>373</v>
      </c>
      <c r="F1254" s="71" t="s">
        <v>367</v>
      </c>
      <c r="G1254" s="71" t="s">
        <v>397</v>
      </c>
      <c r="H1254" s="71" t="s">
        <v>1671</v>
      </c>
      <c r="I1254" s="71" t="s">
        <v>1661</v>
      </c>
    </row>
    <row r="1255" spans="1:9" ht="43.5" x14ac:dyDescent="0.35">
      <c r="A1255" s="195">
        <v>8</v>
      </c>
      <c r="B1255" s="195">
        <v>42</v>
      </c>
      <c r="C1255" s="195" t="s">
        <v>1700</v>
      </c>
      <c r="D1255" s="64">
        <v>45000</v>
      </c>
      <c r="E1255" s="195" t="s">
        <v>366</v>
      </c>
      <c r="F1255" s="71" t="s">
        <v>367</v>
      </c>
      <c r="G1255" s="71" t="s">
        <v>406</v>
      </c>
      <c r="H1255" s="71" t="s">
        <v>1374</v>
      </c>
      <c r="I1255" s="71" t="s">
        <v>1653</v>
      </c>
    </row>
    <row r="1256" spans="1:9" ht="43.5" x14ac:dyDescent="0.35">
      <c r="A1256" s="195">
        <v>8</v>
      </c>
      <c r="B1256" s="195">
        <v>43</v>
      </c>
      <c r="C1256" s="195" t="s">
        <v>1701</v>
      </c>
      <c r="D1256" s="64">
        <v>29860</v>
      </c>
      <c r="E1256" s="195" t="s">
        <v>366</v>
      </c>
      <c r="F1256" s="71" t="s">
        <v>367</v>
      </c>
      <c r="G1256" s="71" t="s">
        <v>406</v>
      </c>
      <c r="H1256" s="71" t="s">
        <v>1657</v>
      </c>
      <c r="I1256" s="71" t="s">
        <v>1653</v>
      </c>
    </row>
    <row r="1257" spans="1:9" ht="43.5" x14ac:dyDescent="0.35">
      <c r="A1257" s="195">
        <v>8</v>
      </c>
      <c r="B1257" s="195">
        <v>44</v>
      </c>
      <c r="C1257" s="195" t="s">
        <v>1702</v>
      </c>
      <c r="D1257" s="195">
        <v>80</v>
      </c>
      <c r="E1257" s="195" t="s">
        <v>373</v>
      </c>
      <c r="F1257" s="71" t="s">
        <v>367</v>
      </c>
      <c r="G1257" s="71" t="s">
        <v>406</v>
      </c>
      <c r="H1257" s="71" t="s">
        <v>1657</v>
      </c>
      <c r="I1257" s="71" t="s">
        <v>1659</v>
      </c>
    </row>
    <row r="1258" spans="1:9" ht="43.5" x14ac:dyDescent="0.35">
      <c r="A1258" s="195">
        <v>8</v>
      </c>
      <c r="B1258" s="195">
        <v>45</v>
      </c>
      <c r="C1258" s="195" t="s">
        <v>1703</v>
      </c>
      <c r="D1258" s="64">
        <v>29780</v>
      </c>
      <c r="E1258" s="195" t="s">
        <v>373</v>
      </c>
      <c r="F1258" s="71" t="s">
        <v>367</v>
      </c>
      <c r="G1258" s="71" t="s">
        <v>406</v>
      </c>
      <c r="H1258" s="71" t="s">
        <v>1657</v>
      </c>
      <c r="I1258" s="71" t="s">
        <v>1661</v>
      </c>
    </row>
    <row r="1259" spans="1:9" ht="43.5" x14ac:dyDescent="0.35">
      <c r="A1259" s="195">
        <v>8</v>
      </c>
      <c r="B1259" s="195">
        <v>46</v>
      </c>
      <c r="C1259" s="195" t="s">
        <v>1704</v>
      </c>
      <c r="D1259" s="64">
        <v>11895</v>
      </c>
      <c r="E1259" s="195" t="s">
        <v>366</v>
      </c>
      <c r="F1259" s="71" t="s">
        <v>367</v>
      </c>
      <c r="G1259" s="71" t="s">
        <v>406</v>
      </c>
      <c r="H1259" s="71" t="s">
        <v>1663</v>
      </c>
      <c r="I1259" s="71" t="s">
        <v>1653</v>
      </c>
    </row>
    <row r="1260" spans="1:9" ht="43.5" x14ac:dyDescent="0.35">
      <c r="A1260" s="195">
        <v>8</v>
      </c>
      <c r="B1260" s="195">
        <v>47</v>
      </c>
      <c r="C1260" s="195" t="s">
        <v>1705</v>
      </c>
      <c r="D1260" s="195">
        <v>0</v>
      </c>
      <c r="E1260" s="195" t="s">
        <v>373</v>
      </c>
      <c r="F1260" s="71" t="s">
        <v>367</v>
      </c>
      <c r="G1260" s="71" t="s">
        <v>406</v>
      </c>
      <c r="H1260" s="71" t="s">
        <v>1663</v>
      </c>
      <c r="I1260" s="71" t="s">
        <v>1659</v>
      </c>
    </row>
    <row r="1261" spans="1:9" ht="43.5" x14ac:dyDescent="0.35">
      <c r="A1261" s="195">
        <v>8</v>
      </c>
      <c r="B1261" s="195">
        <v>48</v>
      </c>
      <c r="C1261" s="195" t="s">
        <v>1706</v>
      </c>
      <c r="D1261" s="64">
        <v>11895</v>
      </c>
      <c r="E1261" s="195" t="s">
        <v>373</v>
      </c>
      <c r="F1261" s="71" t="s">
        <v>367</v>
      </c>
      <c r="G1261" s="71" t="s">
        <v>406</v>
      </c>
      <c r="H1261" s="71" t="s">
        <v>1663</v>
      </c>
      <c r="I1261" s="71" t="s">
        <v>1661</v>
      </c>
    </row>
    <row r="1262" spans="1:9" ht="43.5" x14ac:dyDescent="0.35">
      <c r="A1262" s="195">
        <v>8</v>
      </c>
      <c r="B1262" s="195">
        <v>49</v>
      </c>
      <c r="C1262" s="195" t="s">
        <v>1707</v>
      </c>
      <c r="D1262" s="64">
        <v>3245</v>
      </c>
      <c r="E1262" s="195" t="s">
        <v>366</v>
      </c>
      <c r="F1262" s="71" t="s">
        <v>367</v>
      </c>
      <c r="G1262" s="71" t="s">
        <v>406</v>
      </c>
      <c r="H1262" s="71" t="s">
        <v>1667</v>
      </c>
      <c r="I1262" s="71" t="s">
        <v>1653</v>
      </c>
    </row>
    <row r="1263" spans="1:9" ht="43.5" x14ac:dyDescent="0.35">
      <c r="A1263" s="195">
        <v>8</v>
      </c>
      <c r="B1263" s="195">
        <v>50</v>
      </c>
      <c r="C1263" s="195" t="s">
        <v>1708</v>
      </c>
      <c r="D1263" s="195">
        <v>4</v>
      </c>
      <c r="E1263" s="195" t="s">
        <v>373</v>
      </c>
      <c r="F1263" s="71" t="s">
        <v>367</v>
      </c>
      <c r="G1263" s="71" t="s">
        <v>406</v>
      </c>
      <c r="H1263" s="71" t="s">
        <v>1667</v>
      </c>
      <c r="I1263" s="71" t="s">
        <v>1659</v>
      </c>
    </row>
    <row r="1264" spans="1:9" ht="43.5" x14ac:dyDescent="0.35">
      <c r="A1264" s="195">
        <v>8</v>
      </c>
      <c r="B1264" s="195">
        <v>51</v>
      </c>
      <c r="C1264" s="195" t="s">
        <v>1709</v>
      </c>
      <c r="D1264" s="64">
        <v>3240</v>
      </c>
      <c r="E1264" s="195" t="s">
        <v>373</v>
      </c>
      <c r="F1264" s="71" t="s">
        <v>367</v>
      </c>
      <c r="G1264" s="71" t="s">
        <v>406</v>
      </c>
      <c r="H1264" s="71" t="s">
        <v>1667</v>
      </c>
      <c r="I1264" s="71" t="s">
        <v>1661</v>
      </c>
    </row>
    <row r="1265" spans="1:9" ht="43.5" x14ac:dyDescent="0.35">
      <c r="A1265" s="195">
        <v>8</v>
      </c>
      <c r="B1265" s="195">
        <v>52</v>
      </c>
      <c r="C1265" s="195" t="s">
        <v>1710</v>
      </c>
      <c r="D1265" s="195">
        <v>0</v>
      </c>
      <c r="E1265" s="195" t="s">
        <v>366</v>
      </c>
      <c r="F1265" s="71" t="s">
        <v>367</v>
      </c>
      <c r="G1265" s="71" t="s">
        <v>406</v>
      </c>
      <c r="H1265" s="71" t="s">
        <v>1671</v>
      </c>
      <c r="I1265" s="71" t="s">
        <v>1653</v>
      </c>
    </row>
    <row r="1266" spans="1:9" ht="43.5" x14ac:dyDescent="0.35">
      <c r="A1266" s="195">
        <v>8</v>
      </c>
      <c r="B1266" s="195">
        <v>53</v>
      </c>
      <c r="C1266" s="195" t="s">
        <v>1711</v>
      </c>
      <c r="D1266" s="195">
        <v>0</v>
      </c>
      <c r="E1266" s="195" t="s">
        <v>373</v>
      </c>
      <c r="F1266" s="71" t="s">
        <v>367</v>
      </c>
      <c r="G1266" s="71" t="s">
        <v>406</v>
      </c>
      <c r="H1266" s="71" t="s">
        <v>1671</v>
      </c>
      <c r="I1266" s="71" t="s">
        <v>1659</v>
      </c>
    </row>
    <row r="1267" spans="1:9" ht="43.5" x14ac:dyDescent="0.35">
      <c r="A1267" s="195">
        <v>8</v>
      </c>
      <c r="B1267" s="195">
        <v>54</v>
      </c>
      <c r="C1267" s="195" t="s">
        <v>1712</v>
      </c>
      <c r="D1267" s="195">
        <v>0</v>
      </c>
      <c r="E1267" s="195" t="s">
        <v>373</v>
      </c>
      <c r="F1267" s="71" t="s">
        <v>367</v>
      </c>
      <c r="G1267" s="71" t="s">
        <v>406</v>
      </c>
      <c r="H1267" s="71" t="s">
        <v>1671</v>
      </c>
      <c r="I1267" s="71" t="s">
        <v>1661</v>
      </c>
    </row>
    <row r="1268" spans="1:9" ht="29" x14ac:dyDescent="0.35">
      <c r="A1268" s="195">
        <v>8</v>
      </c>
      <c r="B1268" s="195">
        <v>55</v>
      </c>
      <c r="C1268" s="195" t="s">
        <v>1713</v>
      </c>
      <c r="D1268" s="64">
        <v>243530</v>
      </c>
      <c r="E1268" s="195" t="s">
        <v>366</v>
      </c>
      <c r="F1268" s="71" t="s">
        <v>367</v>
      </c>
      <c r="G1268" s="71" t="s">
        <v>415</v>
      </c>
      <c r="H1268" s="71" t="s">
        <v>1374</v>
      </c>
      <c r="I1268" s="71" t="s">
        <v>1653</v>
      </c>
    </row>
    <row r="1269" spans="1:9" ht="29" x14ac:dyDescent="0.35">
      <c r="A1269" s="195">
        <v>8</v>
      </c>
      <c r="B1269" s="195">
        <v>56</v>
      </c>
      <c r="C1269" s="195" t="s">
        <v>1714</v>
      </c>
      <c r="D1269" s="64">
        <v>218510</v>
      </c>
      <c r="E1269" s="195" t="s">
        <v>366</v>
      </c>
      <c r="F1269" s="71" t="s">
        <v>367</v>
      </c>
      <c r="G1269" s="71" t="s">
        <v>415</v>
      </c>
      <c r="H1269" s="71" t="s">
        <v>1657</v>
      </c>
      <c r="I1269" s="71" t="s">
        <v>1653</v>
      </c>
    </row>
    <row r="1270" spans="1:9" ht="43.5" x14ac:dyDescent="0.35">
      <c r="A1270" s="195">
        <v>8</v>
      </c>
      <c r="B1270" s="195">
        <v>57</v>
      </c>
      <c r="C1270" s="195" t="s">
        <v>1715</v>
      </c>
      <c r="D1270" s="64">
        <v>875</v>
      </c>
      <c r="E1270" s="195" t="s">
        <v>373</v>
      </c>
      <c r="F1270" s="71" t="s">
        <v>367</v>
      </c>
      <c r="G1270" s="71" t="s">
        <v>415</v>
      </c>
      <c r="H1270" s="71" t="s">
        <v>1657</v>
      </c>
      <c r="I1270" s="71" t="s">
        <v>1659</v>
      </c>
    </row>
    <row r="1271" spans="1:9" ht="43.5" x14ac:dyDescent="0.35">
      <c r="A1271" s="195">
        <v>8</v>
      </c>
      <c r="B1271" s="195">
        <v>58</v>
      </c>
      <c r="C1271" s="195" t="s">
        <v>1716</v>
      </c>
      <c r="D1271" s="64">
        <v>217635</v>
      </c>
      <c r="E1271" s="195" t="s">
        <v>373</v>
      </c>
      <c r="F1271" s="71" t="s">
        <v>367</v>
      </c>
      <c r="G1271" s="71" t="s">
        <v>415</v>
      </c>
      <c r="H1271" s="71" t="s">
        <v>1657</v>
      </c>
      <c r="I1271" s="71" t="s">
        <v>1661</v>
      </c>
    </row>
    <row r="1272" spans="1:9" ht="29" x14ac:dyDescent="0.35">
      <c r="A1272" s="195">
        <v>8</v>
      </c>
      <c r="B1272" s="195">
        <v>59</v>
      </c>
      <c r="C1272" s="195" t="s">
        <v>1717</v>
      </c>
      <c r="D1272" s="64">
        <v>21905</v>
      </c>
      <c r="E1272" s="195" t="s">
        <v>366</v>
      </c>
      <c r="F1272" s="71" t="s">
        <v>367</v>
      </c>
      <c r="G1272" s="71" t="s">
        <v>415</v>
      </c>
      <c r="H1272" s="71" t="s">
        <v>1663</v>
      </c>
      <c r="I1272" s="71" t="s">
        <v>1653</v>
      </c>
    </row>
    <row r="1273" spans="1:9" ht="43.5" x14ac:dyDescent="0.35">
      <c r="A1273" s="195">
        <v>8</v>
      </c>
      <c r="B1273" s="195">
        <v>60</v>
      </c>
      <c r="C1273" s="195" t="s">
        <v>1718</v>
      </c>
      <c r="D1273" s="195">
        <v>135</v>
      </c>
      <c r="E1273" s="195" t="s">
        <v>373</v>
      </c>
      <c r="F1273" s="71" t="s">
        <v>367</v>
      </c>
      <c r="G1273" s="71" t="s">
        <v>415</v>
      </c>
      <c r="H1273" s="71" t="s">
        <v>1663</v>
      </c>
      <c r="I1273" s="71" t="s">
        <v>1659</v>
      </c>
    </row>
    <row r="1274" spans="1:9" ht="43.5" x14ac:dyDescent="0.35">
      <c r="A1274" s="195">
        <v>8</v>
      </c>
      <c r="B1274" s="195">
        <v>61</v>
      </c>
      <c r="C1274" s="195" t="s">
        <v>1719</v>
      </c>
      <c r="D1274" s="64">
        <v>21770</v>
      </c>
      <c r="E1274" s="195" t="s">
        <v>373</v>
      </c>
      <c r="F1274" s="71" t="s">
        <v>367</v>
      </c>
      <c r="G1274" s="71" t="s">
        <v>415</v>
      </c>
      <c r="H1274" s="71" t="s">
        <v>1663</v>
      </c>
      <c r="I1274" s="71" t="s">
        <v>1661</v>
      </c>
    </row>
    <row r="1275" spans="1:9" ht="29" x14ac:dyDescent="0.35">
      <c r="A1275" s="195">
        <v>8</v>
      </c>
      <c r="B1275" s="195">
        <v>62</v>
      </c>
      <c r="C1275" s="195" t="s">
        <v>1720</v>
      </c>
      <c r="D1275" s="64">
        <v>3115</v>
      </c>
      <c r="E1275" s="195" t="s">
        <v>366</v>
      </c>
      <c r="F1275" s="71" t="s">
        <v>367</v>
      </c>
      <c r="G1275" s="71" t="s">
        <v>415</v>
      </c>
      <c r="H1275" s="71" t="s">
        <v>1667</v>
      </c>
      <c r="I1275" s="71" t="s">
        <v>1653</v>
      </c>
    </row>
    <row r="1276" spans="1:9" ht="43.5" x14ac:dyDescent="0.35">
      <c r="A1276" s="195">
        <v>8</v>
      </c>
      <c r="B1276" s="195">
        <v>63</v>
      </c>
      <c r="C1276" s="195" t="s">
        <v>1721</v>
      </c>
      <c r="D1276" s="195">
        <v>25</v>
      </c>
      <c r="E1276" s="195" t="s">
        <v>373</v>
      </c>
      <c r="F1276" s="71" t="s">
        <v>367</v>
      </c>
      <c r="G1276" s="71" t="s">
        <v>415</v>
      </c>
      <c r="H1276" s="71" t="s">
        <v>1667</v>
      </c>
      <c r="I1276" s="71" t="s">
        <v>1659</v>
      </c>
    </row>
    <row r="1277" spans="1:9" ht="43.5" x14ac:dyDescent="0.35">
      <c r="A1277" s="195">
        <v>8</v>
      </c>
      <c r="B1277" s="195">
        <v>64</v>
      </c>
      <c r="C1277" s="195" t="s">
        <v>1722</v>
      </c>
      <c r="D1277" s="64">
        <v>3090</v>
      </c>
      <c r="E1277" s="195" t="s">
        <v>373</v>
      </c>
      <c r="F1277" s="71" t="s">
        <v>367</v>
      </c>
      <c r="G1277" s="71" t="s">
        <v>415</v>
      </c>
      <c r="H1277" s="71" t="s">
        <v>1667</v>
      </c>
      <c r="I1277" s="71" t="s">
        <v>1661</v>
      </c>
    </row>
    <row r="1278" spans="1:9" ht="29" x14ac:dyDescent="0.35">
      <c r="A1278" s="195">
        <v>8</v>
      </c>
      <c r="B1278" s="195">
        <v>65</v>
      </c>
      <c r="C1278" s="195" t="s">
        <v>1723</v>
      </c>
      <c r="D1278" s="195">
        <v>0</v>
      </c>
      <c r="E1278" s="195" t="s">
        <v>366</v>
      </c>
      <c r="F1278" s="71" t="s">
        <v>367</v>
      </c>
      <c r="G1278" s="71" t="s">
        <v>415</v>
      </c>
      <c r="H1278" s="71" t="s">
        <v>1671</v>
      </c>
      <c r="I1278" s="71" t="s">
        <v>1653</v>
      </c>
    </row>
    <row r="1279" spans="1:9" ht="43.5" x14ac:dyDescent="0.35">
      <c r="A1279" s="195">
        <v>8</v>
      </c>
      <c r="B1279" s="195">
        <v>66</v>
      </c>
      <c r="C1279" s="195" t="s">
        <v>1724</v>
      </c>
      <c r="D1279" s="195">
        <v>0</v>
      </c>
      <c r="E1279" s="195" t="s">
        <v>373</v>
      </c>
      <c r="F1279" s="71" t="s">
        <v>367</v>
      </c>
      <c r="G1279" s="71" t="s">
        <v>415</v>
      </c>
      <c r="H1279" s="71" t="s">
        <v>1671</v>
      </c>
      <c r="I1279" s="71" t="s">
        <v>1659</v>
      </c>
    </row>
    <row r="1280" spans="1:9" ht="43.5" x14ac:dyDescent="0.35">
      <c r="A1280" s="195">
        <v>8</v>
      </c>
      <c r="B1280" s="195">
        <v>67</v>
      </c>
      <c r="C1280" s="195" t="s">
        <v>1725</v>
      </c>
      <c r="D1280" s="195">
        <v>0</v>
      </c>
      <c r="E1280" s="195" t="s">
        <v>373</v>
      </c>
      <c r="F1280" s="71" t="s">
        <v>367</v>
      </c>
      <c r="G1280" s="71" t="s">
        <v>415</v>
      </c>
      <c r="H1280" s="71" t="s">
        <v>1671</v>
      </c>
      <c r="I1280" s="71" t="s">
        <v>1661</v>
      </c>
    </row>
    <row r="1281" spans="1:9" x14ac:dyDescent="0.35">
      <c r="A1281" s="195">
        <v>8</v>
      </c>
      <c r="B1281" s="195">
        <v>68</v>
      </c>
      <c r="C1281" s="195" t="s">
        <v>1726</v>
      </c>
      <c r="D1281" s="64">
        <v>582690</v>
      </c>
      <c r="E1281" s="195" t="s">
        <v>366</v>
      </c>
      <c r="F1281" s="71" t="s">
        <v>508</v>
      </c>
      <c r="G1281" s="71" t="s">
        <v>363</v>
      </c>
      <c r="H1281" s="71" t="s">
        <v>1374</v>
      </c>
      <c r="I1281" s="71" t="s">
        <v>1653</v>
      </c>
    </row>
    <row r="1282" spans="1:9" ht="29" x14ac:dyDescent="0.35">
      <c r="A1282" s="195">
        <v>8</v>
      </c>
      <c r="B1282" s="195">
        <v>69</v>
      </c>
      <c r="C1282" s="195" t="s">
        <v>1727</v>
      </c>
      <c r="D1282" s="64">
        <v>191440</v>
      </c>
      <c r="E1282" s="195" t="s">
        <v>366</v>
      </c>
      <c r="F1282" s="71" t="s">
        <v>508</v>
      </c>
      <c r="G1282" s="71" t="s">
        <v>371</v>
      </c>
      <c r="H1282" s="71" t="s">
        <v>1374</v>
      </c>
      <c r="I1282" s="71" t="s">
        <v>1653</v>
      </c>
    </row>
    <row r="1283" spans="1:9" ht="29" x14ac:dyDescent="0.35">
      <c r="A1283" s="195">
        <v>8</v>
      </c>
      <c r="B1283" s="195">
        <v>70</v>
      </c>
      <c r="C1283" s="195" t="s">
        <v>1728</v>
      </c>
      <c r="D1283" s="64">
        <v>24930</v>
      </c>
      <c r="E1283" s="195" t="s">
        <v>366</v>
      </c>
      <c r="F1283" s="71" t="s">
        <v>508</v>
      </c>
      <c r="G1283" s="71" t="s">
        <v>371</v>
      </c>
      <c r="H1283" s="71" t="s">
        <v>1657</v>
      </c>
      <c r="I1283" s="71" t="s">
        <v>1653</v>
      </c>
    </row>
    <row r="1284" spans="1:9" ht="43.5" x14ac:dyDescent="0.35">
      <c r="A1284" s="195">
        <v>8</v>
      </c>
      <c r="B1284" s="195">
        <v>71</v>
      </c>
      <c r="C1284" s="195" t="s">
        <v>1729</v>
      </c>
      <c r="D1284" s="195">
        <v>750</v>
      </c>
      <c r="E1284" s="195" t="s">
        <v>373</v>
      </c>
      <c r="F1284" s="71" t="s">
        <v>508</v>
      </c>
      <c r="G1284" s="71" t="s">
        <v>371</v>
      </c>
      <c r="H1284" s="71" t="s">
        <v>1657</v>
      </c>
      <c r="I1284" s="71" t="s">
        <v>1659</v>
      </c>
    </row>
    <row r="1285" spans="1:9" ht="43.5" x14ac:dyDescent="0.35">
      <c r="A1285" s="195">
        <v>8</v>
      </c>
      <c r="B1285" s="195">
        <v>72</v>
      </c>
      <c r="C1285" s="195" t="s">
        <v>1730</v>
      </c>
      <c r="D1285" s="64">
        <v>24175</v>
      </c>
      <c r="E1285" s="195" t="s">
        <v>373</v>
      </c>
      <c r="F1285" s="71" t="s">
        <v>508</v>
      </c>
      <c r="G1285" s="71" t="s">
        <v>371</v>
      </c>
      <c r="H1285" s="71" t="s">
        <v>1657</v>
      </c>
      <c r="I1285" s="71" t="s">
        <v>1661</v>
      </c>
    </row>
    <row r="1286" spans="1:9" ht="29" x14ac:dyDescent="0.35">
      <c r="A1286" s="195">
        <v>8</v>
      </c>
      <c r="B1286" s="195">
        <v>73</v>
      </c>
      <c r="C1286" s="195" t="s">
        <v>1731</v>
      </c>
      <c r="D1286" s="64">
        <v>27820</v>
      </c>
      <c r="E1286" s="195" t="s">
        <v>366</v>
      </c>
      <c r="F1286" s="71" t="s">
        <v>508</v>
      </c>
      <c r="G1286" s="71" t="s">
        <v>371</v>
      </c>
      <c r="H1286" s="71" t="s">
        <v>1663</v>
      </c>
      <c r="I1286" s="71" t="s">
        <v>1653</v>
      </c>
    </row>
    <row r="1287" spans="1:9" ht="43.5" x14ac:dyDescent="0.35">
      <c r="A1287" s="195">
        <v>8</v>
      </c>
      <c r="B1287" s="195">
        <v>74</v>
      </c>
      <c r="C1287" s="195" t="s">
        <v>1732</v>
      </c>
      <c r="D1287" s="195">
        <v>595</v>
      </c>
      <c r="E1287" s="195" t="s">
        <v>373</v>
      </c>
      <c r="F1287" s="71" t="s">
        <v>508</v>
      </c>
      <c r="G1287" s="71" t="s">
        <v>371</v>
      </c>
      <c r="H1287" s="71" t="s">
        <v>1663</v>
      </c>
      <c r="I1287" s="71" t="s">
        <v>1659</v>
      </c>
    </row>
    <row r="1288" spans="1:9" ht="43.5" x14ac:dyDescent="0.35">
      <c r="A1288" s="195">
        <v>8</v>
      </c>
      <c r="B1288" s="195">
        <v>75</v>
      </c>
      <c r="C1288" s="195" t="s">
        <v>1733</v>
      </c>
      <c r="D1288" s="64">
        <v>27225</v>
      </c>
      <c r="E1288" s="195" t="s">
        <v>373</v>
      </c>
      <c r="F1288" s="71" t="s">
        <v>508</v>
      </c>
      <c r="G1288" s="71" t="s">
        <v>371</v>
      </c>
      <c r="H1288" s="71" t="s">
        <v>1663</v>
      </c>
      <c r="I1288" s="71" t="s">
        <v>1661</v>
      </c>
    </row>
    <row r="1289" spans="1:9" ht="29" x14ac:dyDescent="0.35">
      <c r="A1289" s="195">
        <v>8</v>
      </c>
      <c r="B1289" s="195">
        <v>76</v>
      </c>
      <c r="C1289" s="195" t="s">
        <v>1734</v>
      </c>
      <c r="D1289" s="64">
        <v>116000</v>
      </c>
      <c r="E1289" s="195" t="s">
        <v>366</v>
      </c>
      <c r="F1289" s="71" t="s">
        <v>508</v>
      </c>
      <c r="G1289" s="71" t="s">
        <v>371</v>
      </c>
      <c r="H1289" s="71" t="s">
        <v>1667</v>
      </c>
      <c r="I1289" s="71" t="s">
        <v>1653</v>
      </c>
    </row>
    <row r="1290" spans="1:9" ht="43.5" x14ac:dyDescent="0.35">
      <c r="A1290" s="195">
        <v>8</v>
      </c>
      <c r="B1290" s="195">
        <v>77</v>
      </c>
      <c r="C1290" s="195" t="s">
        <v>1735</v>
      </c>
      <c r="D1290" s="64">
        <v>2560</v>
      </c>
      <c r="E1290" s="195" t="s">
        <v>373</v>
      </c>
      <c r="F1290" s="71" t="s">
        <v>508</v>
      </c>
      <c r="G1290" s="71" t="s">
        <v>371</v>
      </c>
      <c r="H1290" s="71" t="s">
        <v>1667</v>
      </c>
      <c r="I1290" s="71" t="s">
        <v>1659</v>
      </c>
    </row>
    <row r="1291" spans="1:9" ht="43.5" x14ac:dyDescent="0.35">
      <c r="A1291" s="195">
        <v>8</v>
      </c>
      <c r="B1291" s="195">
        <v>78</v>
      </c>
      <c r="C1291" s="195" t="s">
        <v>1736</v>
      </c>
      <c r="D1291" s="64">
        <v>113440</v>
      </c>
      <c r="E1291" s="195" t="s">
        <v>373</v>
      </c>
      <c r="F1291" s="71" t="s">
        <v>508</v>
      </c>
      <c r="G1291" s="71" t="s">
        <v>371</v>
      </c>
      <c r="H1291" s="71" t="s">
        <v>1667</v>
      </c>
      <c r="I1291" s="71" t="s">
        <v>1661</v>
      </c>
    </row>
    <row r="1292" spans="1:9" ht="29" x14ac:dyDescent="0.35">
      <c r="A1292" s="195">
        <v>8</v>
      </c>
      <c r="B1292" s="195">
        <v>79</v>
      </c>
      <c r="C1292" s="195" t="s">
        <v>1737</v>
      </c>
      <c r="D1292" s="64">
        <v>22690</v>
      </c>
      <c r="E1292" s="195" t="s">
        <v>366</v>
      </c>
      <c r="F1292" s="71" t="s">
        <v>508</v>
      </c>
      <c r="G1292" s="71" t="s">
        <v>371</v>
      </c>
      <c r="H1292" s="71" t="s">
        <v>1671</v>
      </c>
      <c r="I1292" s="71" t="s">
        <v>1653</v>
      </c>
    </row>
    <row r="1293" spans="1:9" ht="43.5" x14ac:dyDescent="0.35">
      <c r="A1293" s="195">
        <v>8</v>
      </c>
      <c r="B1293" s="195">
        <v>80</v>
      </c>
      <c r="C1293" s="195" t="s">
        <v>1738</v>
      </c>
      <c r="D1293" s="195">
        <v>540</v>
      </c>
      <c r="E1293" s="195" t="s">
        <v>373</v>
      </c>
      <c r="F1293" s="71" t="s">
        <v>508</v>
      </c>
      <c r="G1293" s="71" t="s">
        <v>371</v>
      </c>
      <c r="H1293" s="71" t="s">
        <v>1671</v>
      </c>
      <c r="I1293" s="71" t="s">
        <v>1659</v>
      </c>
    </row>
    <row r="1294" spans="1:9" ht="43.5" x14ac:dyDescent="0.35">
      <c r="A1294" s="195">
        <v>8</v>
      </c>
      <c r="B1294" s="195">
        <v>81</v>
      </c>
      <c r="C1294" s="195" t="s">
        <v>1739</v>
      </c>
      <c r="D1294" s="64">
        <v>22150</v>
      </c>
      <c r="E1294" s="195" t="s">
        <v>373</v>
      </c>
      <c r="F1294" s="71" t="s">
        <v>508</v>
      </c>
      <c r="G1294" s="71" t="s">
        <v>371</v>
      </c>
      <c r="H1294" s="71" t="s">
        <v>1671</v>
      </c>
      <c r="I1294" s="71" t="s">
        <v>1661</v>
      </c>
    </row>
    <row r="1295" spans="1:9" ht="43.5" x14ac:dyDescent="0.35">
      <c r="A1295" s="195">
        <v>8</v>
      </c>
      <c r="B1295" s="195">
        <v>82</v>
      </c>
      <c r="C1295" s="195" t="s">
        <v>1740</v>
      </c>
      <c r="D1295" s="64">
        <v>99385</v>
      </c>
      <c r="E1295" s="195" t="s">
        <v>366</v>
      </c>
      <c r="F1295" s="71" t="s">
        <v>508</v>
      </c>
      <c r="G1295" s="71" t="s">
        <v>388</v>
      </c>
      <c r="H1295" s="71" t="s">
        <v>1374</v>
      </c>
      <c r="I1295" s="71" t="s">
        <v>1653</v>
      </c>
    </row>
    <row r="1296" spans="1:9" ht="43.5" x14ac:dyDescent="0.35">
      <c r="A1296" s="195">
        <v>8</v>
      </c>
      <c r="B1296" s="195">
        <v>83</v>
      </c>
      <c r="C1296" s="195" t="s">
        <v>1741</v>
      </c>
      <c r="D1296" s="64">
        <v>25750</v>
      </c>
      <c r="E1296" s="195" t="s">
        <v>366</v>
      </c>
      <c r="F1296" s="71" t="s">
        <v>508</v>
      </c>
      <c r="G1296" s="71" t="s">
        <v>388</v>
      </c>
      <c r="H1296" s="71" t="s">
        <v>1657</v>
      </c>
      <c r="I1296" s="71" t="s">
        <v>1653</v>
      </c>
    </row>
    <row r="1297" spans="1:9" ht="43.5" x14ac:dyDescent="0.35">
      <c r="A1297" s="195">
        <v>8</v>
      </c>
      <c r="B1297" s="195">
        <v>84</v>
      </c>
      <c r="C1297" s="195" t="s">
        <v>1742</v>
      </c>
      <c r="D1297" s="195">
        <v>615</v>
      </c>
      <c r="E1297" s="195" t="s">
        <v>373</v>
      </c>
      <c r="F1297" s="71" t="s">
        <v>508</v>
      </c>
      <c r="G1297" s="71" t="s">
        <v>388</v>
      </c>
      <c r="H1297" s="71" t="s">
        <v>1657</v>
      </c>
      <c r="I1297" s="71" t="s">
        <v>1659</v>
      </c>
    </row>
    <row r="1298" spans="1:9" ht="43.5" x14ac:dyDescent="0.35">
      <c r="A1298" s="195">
        <v>8</v>
      </c>
      <c r="B1298" s="195">
        <v>85</v>
      </c>
      <c r="C1298" s="195" t="s">
        <v>1743</v>
      </c>
      <c r="D1298" s="64">
        <v>25135</v>
      </c>
      <c r="E1298" s="195" t="s">
        <v>373</v>
      </c>
      <c r="F1298" s="71" t="s">
        <v>508</v>
      </c>
      <c r="G1298" s="71" t="s">
        <v>388</v>
      </c>
      <c r="H1298" s="71" t="s">
        <v>1657</v>
      </c>
      <c r="I1298" s="71" t="s">
        <v>1661</v>
      </c>
    </row>
    <row r="1299" spans="1:9" ht="43.5" x14ac:dyDescent="0.35">
      <c r="A1299" s="195">
        <v>8</v>
      </c>
      <c r="B1299" s="195">
        <v>86</v>
      </c>
      <c r="C1299" s="195" t="s">
        <v>1744</v>
      </c>
      <c r="D1299" s="64">
        <v>49935</v>
      </c>
      <c r="E1299" s="195" t="s">
        <v>366</v>
      </c>
      <c r="F1299" s="71" t="s">
        <v>508</v>
      </c>
      <c r="G1299" s="71" t="s">
        <v>388</v>
      </c>
      <c r="H1299" s="71" t="s">
        <v>1663</v>
      </c>
      <c r="I1299" s="71" t="s">
        <v>1653</v>
      </c>
    </row>
    <row r="1300" spans="1:9" ht="43.5" x14ac:dyDescent="0.35">
      <c r="A1300" s="195">
        <v>8</v>
      </c>
      <c r="B1300" s="195">
        <v>87</v>
      </c>
      <c r="C1300" s="195" t="s">
        <v>1745</v>
      </c>
      <c r="D1300" s="195">
        <v>585</v>
      </c>
      <c r="E1300" s="195" t="s">
        <v>373</v>
      </c>
      <c r="F1300" s="71" t="s">
        <v>508</v>
      </c>
      <c r="G1300" s="71" t="s">
        <v>388</v>
      </c>
      <c r="H1300" s="71" t="s">
        <v>1663</v>
      </c>
      <c r="I1300" s="71" t="s">
        <v>1659</v>
      </c>
    </row>
    <row r="1301" spans="1:9" ht="43.5" x14ac:dyDescent="0.35">
      <c r="A1301" s="195">
        <v>8</v>
      </c>
      <c r="B1301" s="195">
        <v>88</v>
      </c>
      <c r="C1301" s="195" t="s">
        <v>1746</v>
      </c>
      <c r="D1301" s="64">
        <v>49345</v>
      </c>
      <c r="E1301" s="195" t="s">
        <v>373</v>
      </c>
      <c r="F1301" s="71" t="s">
        <v>508</v>
      </c>
      <c r="G1301" s="71" t="s">
        <v>388</v>
      </c>
      <c r="H1301" s="71" t="s">
        <v>1663</v>
      </c>
      <c r="I1301" s="71" t="s">
        <v>1661</v>
      </c>
    </row>
    <row r="1302" spans="1:9" ht="43.5" x14ac:dyDescent="0.35">
      <c r="A1302" s="195">
        <v>8</v>
      </c>
      <c r="B1302" s="195">
        <v>89</v>
      </c>
      <c r="C1302" s="195" t="s">
        <v>1747</v>
      </c>
      <c r="D1302" s="64">
        <v>23700</v>
      </c>
      <c r="E1302" s="195" t="s">
        <v>366</v>
      </c>
      <c r="F1302" s="71" t="s">
        <v>508</v>
      </c>
      <c r="G1302" s="71" t="s">
        <v>388</v>
      </c>
      <c r="H1302" s="71" t="s">
        <v>1667</v>
      </c>
      <c r="I1302" s="71" t="s">
        <v>1653</v>
      </c>
    </row>
    <row r="1303" spans="1:9" ht="43.5" x14ac:dyDescent="0.35">
      <c r="A1303" s="195">
        <v>8</v>
      </c>
      <c r="B1303" s="195">
        <v>90</v>
      </c>
      <c r="C1303" s="195" t="s">
        <v>1748</v>
      </c>
      <c r="D1303" s="195">
        <v>230</v>
      </c>
      <c r="E1303" s="195" t="s">
        <v>373</v>
      </c>
      <c r="F1303" s="71" t="s">
        <v>508</v>
      </c>
      <c r="G1303" s="71" t="s">
        <v>388</v>
      </c>
      <c r="H1303" s="71" t="s">
        <v>1667</v>
      </c>
      <c r="I1303" s="71" t="s">
        <v>1659</v>
      </c>
    </row>
    <row r="1304" spans="1:9" ht="43.5" x14ac:dyDescent="0.35">
      <c r="A1304" s="195">
        <v>8</v>
      </c>
      <c r="B1304" s="195">
        <v>91</v>
      </c>
      <c r="C1304" s="195" t="s">
        <v>1749</v>
      </c>
      <c r="D1304" s="64">
        <v>23475</v>
      </c>
      <c r="E1304" s="195" t="s">
        <v>373</v>
      </c>
      <c r="F1304" s="71" t="s">
        <v>508</v>
      </c>
      <c r="G1304" s="71" t="s">
        <v>388</v>
      </c>
      <c r="H1304" s="71" t="s">
        <v>1667</v>
      </c>
      <c r="I1304" s="71" t="s">
        <v>1661</v>
      </c>
    </row>
    <row r="1305" spans="1:9" ht="43.5" x14ac:dyDescent="0.35">
      <c r="A1305" s="195">
        <v>8</v>
      </c>
      <c r="B1305" s="195">
        <v>92</v>
      </c>
      <c r="C1305" s="195" t="s">
        <v>1750</v>
      </c>
      <c r="D1305" s="195">
        <v>0</v>
      </c>
      <c r="E1305" s="195" t="s">
        <v>366</v>
      </c>
      <c r="F1305" s="71" t="s">
        <v>508</v>
      </c>
      <c r="G1305" s="71" t="s">
        <v>388</v>
      </c>
      <c r="H1305" s="71" t="s">
        <v>1671</v>
      </c>
      <c r="I1305" s="71" t="s">
        <v>1653</v>
      </c>
    </row>
    <row r="1306" spans="1:9" ht="43.5" x14ac:dyDescent="0.35">
      <c r="A1306" s="195">
        <v>8</v>
      </c>
      <c r="B1306" s="195">
        <v>93</v>
      </c>
      <c r="C1306" s="195" t="s">
        <v>1751</v>
      </c>
      <c r="D1306" s="195">
        <v>0</v>
      </c>
      <c r="E1306" s="195" t="s">
        <v>373</v>
      </c>
      <c r="F1306" s="71" t="s">
        <v>508</v>
      </c>
      <c r="G1306" s="71" t="s">
        <v>388</v>
      </c>
      <c r="H1306" s="71" t="s">
        <v>1671</v>
      </c>
      <c r="I1306" s="71" t="s">
        <v>1659</v>
      </c>
    </row>
    <row r="1307" spans="1:9" ht="43.5" x14ac:dyDescent="0.35">
      <c r="A1307" s="195">
        <v>8</v>
      </c>
      <c r="B1307" s="195">
        <v>94</v>
      </c>
      <c r="C1307" s="195" t="s">
        <v>1752</v>
      </c>
      <c r="D1307" s="195">
        <v>0</v>
      </c>
      <c r="E1307" s="195" t="s">
        <v>373</v>
      </c>
      <c r="F1307" s="71" t="s">
        <v>508</v>
      </c>
      <c r="G1307" s="71" t="s">
        <v>388</v>
      </c>
      <c r="H1307" s="71" t="s">
        <v>1671</v>
      </c>
      <c r="I1307" s="71" t="s">
        <v>1661</v>
      </c>
    </row>
    <row r="1308" spans="1:9" ht="43.5" x14ac:dyDescent="0.35">
      <c r="A1308" s="195">
        <v>8</v>
      </c>
      <c r="B1308" s="195">
        <v>95</v>
      </c>
      <c r="C1308" s="195" t="s">
        <v>1753</v>
      </c>
      <c r="D1308" s="64">
        <v>99385</v>
      </c>
      <c r="E1308" s="195" t="s">
        <v>366</v>
      </c>
      <c r="F1308" s="71" t="s">
        <v>508</v>
      </c>
      <c r="G1308" s="71" t="s">
        <v>397</v>
      </c>
      <c r="H1308" s="71" t="s">
        <v>1374</v>
      </c>
      <c r="I1308" s="71" t="s">
        <v>1653</v>
      </c>
    </row>
    <row r="1309" spans="1:9" ht="43.5" x14ac:dyDescent="0.35">
      <c r="A1309" s="195">
        <v>8</v>
      </c>
      <c r="B1309" s="195">
        <v>96</v>
      </c>
      <c r="C1309" s="195" t="s">
        <v>1754</v>
      </c>
      <c r="D1309" s="64">
        <v>64600</v>
      </c>
      <c r="E1309" s="195" t="s">
        <v>366</v>
      </c>
      <c r="F1309" s="71" t="s">
        <v>508</v>
      </c>
      <c r="G1309" s="71" t="s">
        <v>397</v>
      </c>
      <c r="H1309" s="71" t="s">
        <v>1657</v>
      </c>
      <c r="I1309" s="71" t="s">
        <v>1653</v>
      </c>
    </row>
    <row r="1310" spans="1:9" ht="43.5" x14ac:dyDescent="0.35">
      <c r="A1310" s="195">
        <v>8</v>
      </c>
      <c r="B1310" s="195">
        <v>97</v>
      </c>
      <c r="C1310" s="195" t="s">
        <v>1755</v>
      </c>
      <c r="D1310" s="195">
        <v>655</v>
      </c>
      <c r="E1310" s="195" t="s">
        <v>373</v>
      </c>
      <c r="F1310" s="71" t="s">
        <v>508</v>
      </c>
      <c r="G1310" s="71" t="s">
        <v>397</v>
      </c>
      <c r="H1310" s="71" t="s">
        <v>1657</v>
      </c>
      <c r="I1310" s="71" t="s">
        <v>1659</v>
      </c>
    </row>
    <row r="1311" spans="1:9" ht="43.5" x14ac:dyDescent="0.35">
      <c r="A1311" s="195">
        <v>8</v>
      </c>
      <c r="B1311" s="195">
        <v>98</v>
      </c>
      <c r="C1311" s="195" t="s">
        <v>1756</v>
      </c>
      <c r="D1311" s="64">
        <v>63945</v>
      </c>
      <c r="E1311" s="195" t="s">
        <v>373</v>
      </c>
      <c r="F1311" s="71" t="s">
        <v>508</v>
      </c>
      <c r="G1311" s="71" t="s">
        <v>397</v>
      </c>
      <c r="H1311" s="71" t="s">
        <v>1657</v>
      </c>
      <c r="I1311" s="71" t="s">
        <v>1661</v>
      </c>
    </row>
    <row r="1312" spans="1:9" ht="43.5" x14ac:dyDescent="0.35">
      <c r="A1312" s="195">
        <v>8</v>
      </c>
      <c r="B1312" s="195">
        <v>99</v>
      </c>
      <c r="C1312" s="195" t="s">
        <v>1757</v>
      </c>
      <c r="D1312" s="64">
        <v>29410</v>
      </c>
      <c r="E1312" s="195" t="s">
        <v>366</v>
      </c>
      <c r="F1312" s="71" t="s">
        <v>508</v>
      </c>
      <c r="G1312" s="71" t="s">
        <v>397</v>
      </c>
      <c r="H1312" s="71" t="s">
        <v>1663</v>
      </c>
      <c r="I1312" s="71" t="s">
        <v>1653</v>
      </c>
    </row>
    <row r="1313" spans="1:9" ht="43.5" x14ac:dyDescent="0.35">
      <c r="A1313" s="195">
        <v>8</v>
      </c>
      <c r="B1313" s="195">
        <v>100</v>
      </c>
      <c r="C1313" s="195" t="s">
        <v>1758</v>
      </c>
      <c r="D1313" s="195">
        <v>135</v>
      </c>
      <c r="E1313" s="195" t="s">
        <v>373</v>
      </c>
      <c r="F1313" s="71" t="s">
        <v>508</v>
      </c>
      <c r="G1313" s="71" t="s">
        <v>397</v>
      </c>
      <c r="H1313" s="71" t="s">
        <v>1663</v>
      </c>
      <c r="I1313" s="71" t="s">
        <v>1659</v>
      </c>
    </row>
    <row r="1314" spans="1:9" ht="43.5" x14ac:dyDescent="0.35">
      <c r="A1314" s="195">
        <v>8</v>
      </c>
      <c r="B1314" s="195">
        <v>101</v>
      </c>
      <c r="C1314" s="195" t="s">
        <v>1759</v>
      </c>
      <c r="D1314" s="64">
        <v>29275</v>
      </c>
      <c r="E1314" s="195" t="s">
        <v>373</v>
      </c>
      <c r="F1314" s="71" t="s">
        <v>508</v>
      </c>
      <c r="G1314" s="71" t="s">
        <v>397</v>
      </c>
      <c r="H1314" s="71" t="s">
        <v>1663</v>
      </c>
      <c r="I1314" s="71" t="s">
        <v>1661</v>
      </c>
    </row>
    <row r="1315" spans="1:9" ht="43.5" x14ac:dyDescent="0.35">
      <c r="A1315" s="195">
        <v>8</v>
      </c>
      <c r="B1315" s="195">
        <v>102</v>
      </c>
      <c r="C1315" s="195" t="s">
        <v>1760</v>
      </c>
      <c r="D1315" s="64">
        <v>5375</v>
      </c>
      <c r="E1315" s="195" t="s">
        <v>366</v>
      </c>
      <c r="F1315" s="71" t="s">
        <v>508</v>
      </c>
      <c r="G1315" s="71" t="s">
        <v>397</v>
      </c>
      <c r="H1315" s="71" t="s">
        <v>1667</v>
      </c>
      <c r="I1315" s="71" t="s">
        <v>1653</v>
      </c>
    </row>
    <row r="1316" spans="1:9" ht="43.5" x14ac:dyDescent="0.35">
      <c r="A1316" s="195">
        <v>8</v>
      </c>
      <c r="B1316" s="195">
        <v>103</v>
      </c>
      <c r="C1316" s="195" t="s">
        <v>1761</v>
      </c>
      <c r="D1316" s="195">
        <v>4</v>
      </c>
      <c r="E1316" s="195" t="s">
        <v>373</v>
      </c>
      <c r="F1316" s="71" t="s">
        <v>508</v>
      </c>
      <c r="G1316" s="71" t="s">
        <v>397</v>
      </c>
      <c r="H1316" s="71" t="s">
        <v>1667</v>
      </c>
      <c r="I1316" s="71" t="s">
        <v>1659</v>
      </c>
    </row>
    <row r="1317" spans="1:9" ht="43.5" x14ac:dyDescent="0.35">
      <c r="A1317" s="195">
        <v>8</v>
      </c>
      <c r="B1317" s="195">
        <v>104</v>
      </c>
      <c r="C1317" s="195" t="s">
        <v>1762</v>
      </c>
      <c r="D1317" s="64">
        <v>5370</v>
      </c>
      <c r="E1317" s="195" t="s">
        <v>373</v>
      </c>
      <c r="F1317" s="71" t="s">
        <v>508</v>
      </c>
      <c r="G1317" s="71" t="s">
        <v>397</v>
      </c>
      <c r="H1317" s="71" t="s">
        <v>1667</v>
      </c>
      <c r="I1317" s="71" t="s">
        <v>1661</v>
      </c>
    </row>
    <row r="1318" spans="1:9" ht="43.5" x14ac:dyDescent="0.35">
      <c r="A1318" s="195">
        <v>8</v>
      </c>
      <c r="B1318" s="195">
        <v>105</v>
      </c>
      <c r="C1318" s="195" t="s">
        <v>1763</v>
      </c>
      <c r="D1318" s="195">
        <v>0</v>
      </c>
      <c r="E1318" s="195" t="s">
        <v>366</v>
      </c>
      <c r="F1318" s="71" t="s">
        <v>508</v>
      </c>
      <c r="G1318" s="71" t="s">
        <v>397</v>
      </c>
      <c r="H1318" s="71" t="s">
        <v>1671</v>
      </c>
      <c r="I1318" s="71" t="s">
        <v>1653</v>
      </c>
    </row>
    <row r="1319" spans="1:9" ht="43.5" x14ac:dyDescent="0.35">
      <c r="A1319" s="195">
        <v>8</v>
      </c>
      <c r="B1319" s="195">
        <v>106</v>
      </c>
      <c r="C1319" s="195" t="s">
        <v>1764</v>
      </c>
      <c r="D1319" s="195">
        <v>0</v>
      </c>
      <c r="E1319" s="195" t="s">
        <v>373</v>
      </c>
      <c r="F1319" s="71" t="s">
        <v>508</v>
      </c>
      <c r="G1319" s="71" t="s">
        <v>397</v>
      </c>
      <c r="H1319" s="71" t="s">
        <v>1671</v>
      </c>
      <c r="I1319" s="71" t="s">
        <v>1659</v>
      </c>
    </row>
    <row r="1320" spans="1:9" ht="43.5" x14ac:dyDescent="0.35">
      <c r="A1320" s="195">
        <v>8</v>
      </c>
      <c r="B1320" s="195">
        <v>107</v>
      </c>
      <c r="C1320" s="195" t="s">
        <v>1765</v>
      </c>
      <c r="D1320" s="195">
        <v>0</v>
      </c>
      <c r="E1320" s="195" t="s">
        <v>373</v>
      </c>
      <c r="F1320" s="71" t="s">
        <v>508</v>
      </c>
      <c r="G1320" s="71" t="s">
        <v>397</v>
      </c>
      <c r="H1320" s="71" t="s">
        <v>1671</v>
      </c>
      <c r="I1320" s="71" t="s">
        <v>1661</v>
      </c>
    </row>
    <row r="1321" spans="1:9" ht="43.5" x14ac:dyDescent="0.35">
      <c r="A1321" s="195">
        <v>8</v>
      </c>
      <c r="B1321" s="195">
        <v>108</v>
      </c>
      <c r="C1321" s="195" t="s">
        <v>1766</v>
      </c>
      <c r="D1321" s="64">
        <v>45690</v>
      </c>
      <c r="E1321" s="195" t="s">
        <v>366</v>
      </c>
      <c r="F1321" s="71" t="s">
        <v>508</v>
      </c>
      <c r="G1321" s="71" t="s">
        <v>406</v>
      </c>
      <c r="H1321" s="71" t="s">
        <v>1374</v>
      </c>
      <c r="I1321" s="71" t="s">
        <v>1653</v>
      </c>
    </row>
    <row r="1322" spans="1:9" ht="43.5" x14ac:dyDescent="0.35">
      <c r="A1322" s="195">
        <v>8</v>
      </c>
      <c r="B1322" s="195">
        <v>109</v>
      </c>
      <c r="C1322" s="195" t="s">
        <v>1767</v>
      </c>
      <c r="D1322" s="64">
        <v>36805</v>
      </c>
      <c r="E1322" s="195" t="s">
        <v>366</v>
      </c>
      <c r="F1322" s="71" t="s">
        <v>508</v>
      </c>
      <c r="G1322" s="71" t="s">
        <v>406</v>
      </c>
      <c r="H1322" s="71" t="s">
        <v>1657</v>
      </c>
      <c r="I1322" s="71" t="s">
        <v>1653</v>
      </c>
    </row>
    <row r="1323" spans="1:9" ht="43.5" x14ac:dyDescent="0.35">
      <c r="A1323" s="195">
        <v>8</v>
      </c>
      <c r="B1323" s="195">
        <v>110</v>
      </c>
      <c r="C1323" s="195" t="s">
        <v>1768</v>
      </c>
      <c r="D1323" s="195">
        <v>260</v>
      </c>
      <c r="E1323" s="195" t="s">
        <v>373</v>
      </c>
      <c r="F1323" s="71" t="s">
        <v>508</v>
      </c>
      <c r="G1323" s="71" t="s">
        <v>406</v>
      </c>
      <c r="H1323" s="71" t="s">
        <v>1657</v>
      </c>
      <c r="I1323" s="71" t="s">
        <v>1659</v>
      </c>
    </row>
    <row r="1324" spans="1:9" ht="43.5" x14ac:dyDescent="0.35">
      <c r="A1324" s="195">
        <v>8</v>
      </c>
      <c r="B1324" s="195">
        <v>111</v>
      </c>
      <c r="C1324" s="195" t="s">
        <v>1769</v>
      </c>
      <c r="D1324" s="64">
        <v>36545</v>
      </c>
      <c r="E1324" s="195" t="s">
        <v>373</v>
      </c>
      <c r="F1324" s="71" t="s">
        <v>508</v>
      </c>
      <c r="G1324" s="71" t="s">
        <v>406</v>
      </c>
      <c r="H1324" s="71" t="s">
        <v>1657</v>
      </c>
      <c r="I1324" s="71" t="s">
        <v>1661</v>
      </c>
    </row>
    <row r="1325" spans="1:9" ht="43.5" x14ac:dyDescent="0.35">
      <c r="A1325" s="195">
        <v>8</v>
      </c>
      <c r="B1325" s="195">
        <v>112</v>
      </c>
      <c r="C1325" s="195" t="s">
        <v>1770</v>
      </c>
      <c r="D1325" s="64">
        <v>8185</v>
      </c>
      <c r="E1325" s="195" t="s">
        <v>366</v>
      </c>
      <c r="F1325" s="71" t="s">
        <v>508</v>
      </c>
      <c r="G1325" s="71" t="s">
        <v>406</v>
      </c>
      <c r="H1325" s="71" t="s">
        <v>1663</v>
      </c>
      <c r="I1325" s="71" t="s">
        <v>1653</v>
      </c>
    </row>
    <row r="1326" spans="1:9" ht="43.5" x14ac:dyDescent="0.35">
      <c r="A1326" s="195">
        <v>8</v>
      </c>
      <c r="B1326" s="195">
        <v>113</v>
      </c>
      <c r="C1326" s="195" t="s">
        <v>1771</v>
      </c>
      <c r="D1326" s="195">
        <v>0</v>
      </c>
      <c r="E1326" s="195" t="s">
        <v>373</v>
      </c>
      <c r="F1326" s="71" t="s">
        <v>508</v>
      </c>
      <c r="G1326" s="71" t="s">
        <v>406</v>
      </c>
      <c r="H1326" s="71" t="s">
        <v>1663</v>
      </c>
      <c r="I1326" s="71" t="s">
        <v>1659</v>
      </c>
    </row>
    <row r="1327" spans="1:9" ht="43.5" x14ac:dyDescent="0.35">
      <c r="A1327" s="195">
        <v>8</v>
      </c>
      <c r="B1327" s="195">
        <v>114</v>
      </c>
      <c r="C1327" s="195" t="s">
        <v>1772</v>
      </c>
      <c r="D1327" s="64">
        <v>8185</v>
      </c>
      <c r="E1327" s="195" t="s">
        <v>373</v>
      </c>
      <c r="F1327" s="71" t="s">
        <v>508</v>
      </c>
      <c r="G1327" s="71" t="s">
        <v>406</v>
      </c>
      <c r="H1327" s="71" t="s">
        <v>1663</v>
      </c>
      <c r="I1327" s="71" t="s">
        <v>1661</v>
      </c>
    </row>
    <row r="1328" spans="1:9" ht="43.5" x14ac:dyDescent="0.35">
      <c r="A1328" s="195">
        <v>8</v>
      </c>
      <c r="B1328" s="195">
        <v>115</v>
      </c>
      <c r="C1328" s="195" t="s">
        <v>1773</v>
      </c>
      <c r="D1328" s="64">
        <v>705</v>
      </c>
      <c r="E1328" s="195" t="s">
        <v>366</v>
      </c>
      <c r="F1328" s="71" t="s">
        <v>508</v>
      </c>
      <c r="G1328" s="71" t="s">
        <v>406</v>
      </c>
      <c r="H1328" s="71" t="s">
        <v>1667</v>
      </c>
      <c r="I1328" s="71" t="s">
        <v>1653</v>
      </c>
    </row>
    <row r="1329" spans="1:9" ht="43.5" x14ac:dyDescent="0.35">
      <c r="A1329" s="195">
        <v>8</v>
      </c>
      <c r="B1329" s="195">
        <v>116</v>
      </c>
      <c r="C1329" s="195" t="s">
        <v>1774</v>
      </c>
      <c r="D1329" s="195">
        <v>0</v>
      </c>
      <c r="E1329" s="195" t="s">
        <v>373</v>
      </c>
      <c r="F1329" s="71" t="s">
        <v>508</v>
      </c>
      <c r="G1329" s="71" t="s">
        <v>406</v>
      </c>
      <c r="H1329" s="71" t="s">
        <v>1667</v>
      </c>
      <c r="I1329" s="71" t="s">
        <v>1659</v>
      </c>
    </row>
    <row r="1330" spans="1:9" ht="43.5" x14ac:dyDescent="0.35">
      <c r="A1330" s="195">
        <v>8</v>
      </c>
      <c r="B1330" s="195">
        <v>117</v>
      </c>
      <c r="C1330" s="195" t="s">
        <v>1775</v>
      </c>
      <c r="D1330" s="195">
        <v>705</v>
      </c>
      <c r="E1330" s="195" t="s">
        <v>373</v>
      </c>
      <c r="F1330" s="71" t="s">
        <v>508</v>
      </c>
      <c r="G1330" s="71" t="s">
        <v>406</v>
      </c>
      <c r="H1330" s="71" t="s">
        <v>1667</v>
      </c>
      <c r="I1330" s="71" t="s">
        <v>1661</v>
      </c>
    </row>
    <row r="1331" spans="1:9" ht="43.5" x14ac:dyDescent="0.35">
      <c r="A1331" s="195">
        <v>8</v>
      </c>
      <c r="B1331" s="195">
        <v>118</v>
      </c>
      <c r="C1331" s="195" t="s">
        <v>1776</v>
      </c>
      <c r="D1331" s="195">
        <v>0</v>
      </c>
      <c r="E1331" s="195" t="s">
        <v>366</v>
      </c>
      <c r="F1331" s="71" t="s">
        <v>508</v>
      </c>
      <c r="G1331" s="71" t="s">
        <v>406</v>
      </c>
      <c r="H1331" s="71" t="s">
        <v>1671</v>
      </c>
      <c r="I1331" s="71" t="s">
        <v>1653</v>
      </c>
    </row>
    <row r="1332" spans="1:9" ht="43.5" x14ac:dyDescent="0.35">
      <c r="A1332" s="195">
        <v>8</v>
      </c>
      <c r="B1332" s="195">
        <v>119</v>
      </c>
      <c r="C1332" s="195" t="s">
        <v>1777</v>
      </c>
      <c r="D1332" s="195">
        <v>0</v>
      </c>
      <c r="E1332" s="195" t="s">
        <v>373</v>
      </c>
      <c r="F1332" s="71" t="s">
        <v>508</v>
      </c>
      <c r="G1332" s="71" t="s">
        <v>406</v>
      </c>
      <c r="H1332" s="71" t="s">
        <v>1671</v>
      </c>
      <c r="I1332" s="71" t="s">
        <v>1659</v>
      </c>
    </row>
    <row r="1333" spans="1:9" ht="43.5" x14ac:dyDescent="0.35">
      <c r="A1333" s="195">
        <v>8</v>
      </c>
      <c r="B1333" s="195">
        <v>120</v>
      </c>
      <c r="C1333" s="195" t="s">
        <v>1778</v>
      </c>
      <c r="D1333" s="195">
        <v>0</v>
      </c>
      <c r="E1333" s="195" t="s">
        <v>373</v>
      </c>
      <c r="F1333" s="71" t="s">
        <v>508</v>
      </c>
      <c r="G1333" s="71" t="s">
        <v>406</v>
      </c>
      <c r="H1333" s="71" t="s">
        <v>1671</v>
      </c>
      <c r="I1333" s="71" t="s">
        <v>1661</v>
      </c>
    </row>
    <row r="1334" spans="1:9" ht="29" x14ac:dyDescent="0.35">
      <c r="A1334" s="195">
        <v>8</v>
      </c>
      <c r="B1334" s="195">
        <v>121</v>
      </c>
      <c r="C1334" s="195" t="s">
        <v>1779</v>
      </c>
      <c r="D1334" s="64">
        <v>146785</v>
      </c>
      <c r="E1334" s="195" t="s">
        <v>366</v>
      </c>
      <c r="F1334" s="71" t="s">
        <v>508</v>
      </c>
      <c r="G1334" s="71" t="s">
        <v>415</v>
      </c>
      <c r="H1334" s="71" t="s">
        <v>1374</v>
      </c>
      <c r="I1334" s="71" t="s">
        <v>1653</v>
      </c>
    </row>
    <row r="1335" spans="1:9" ht="29" x14ac:dyDescent="0.35">
      <c r="A1335" s="195">
        <v>8</v>
      </c>
      <c r="B1335" s="195">
        <v>122</v>
      </c>
      <c r="C1335" s="195" t="s">
        <v>1780</v>
      </c>
      <c r="D1335" s="64">
        <v>139080</v>
      </c>
      <c r="E1335" s="195" t="s">
        <v>366</v>
      </c>
      <c r="F1335" s="71" t="s">
        <v>508</v>
      </c>
      <c r="G1335" s="71" t="s">
        <v>415</v>
      </c>
      <c r="H1335" s="71" t="s">
        <v>1657</v>
      </c>
      <c r="I1335" s="71" t="s">
        <v>1653</v>
      </c>
    </row>
    <row r="1336" spans="1:9" ht="43.5" x14ac:dyDescent="0.35">
      <c r="A1336" s="195">
        <v>8</v>
      </c>
      <c r="B1336" s="195">
        <v>123</v>
      </c>
      <c r="C1336" s="195" t="s">
        <v>1781</v>
      </c>
      <c r="D1336" s="64">
        <v>1050</v>
      </c>
      <c r="E1336" s="195" t="s">
        <v>373</v>
      </c>
      <c r="F1336" s="71" t="s">
        <v>508</v>
      </c>
      <c r="G1336" s="71" t="s">
        <v>415</v>
      </c>
      <c r="H1336" s="71" t="s">
        <v>1657</v>
      </c>
      <c r="I1336" s="71" t="s">
        <v>1659</v>
      </c>
    </row>
    <row r="1337" spans="1:9" ht="43.5" x14ac:dyDescent="0.35">
      <c r="A1337" s="195">
        <v>8</v>
      </c>
      <c r="B1337" s="195">
        <v>124</v>
      </c>
      <c r="C1337" s="195" t="s">
        <v>1782</v>
      </c>
      <c r="D1337" s="64">
        <v>138030</v>
      </c>
      <c r="E1337" s="195" t="s">
        <v>373</v>
      </c>
      <c r="F1337" s="71" t="s">
        <v>508</v>
      </c>
      <c r="G1337" s="71" t="s">
        <v>415</v>
      </c>
      <c r="H1337" s="71" t="s">
        <v>1657</v>
      </c>
      <c r="I1337" s="71" t="s">
        <v>1661</v>
      </c>
    </row>
    <row r="1338" spans="1:9" ht="29" x14ac:dyDescent="0.35">
      <c r="A1338" s="195">
        <v>8</v>
      </c>
      <c r="B1338" s="195">
        <v>125</v>
      </c>
      <c r="C1338" s="195" t="s">
        <v>1783</v>
      </c>
      <c r="D1338" s="64">
        <v>7430</v>
      </c>
      <c r="E1338" s="195" t="s">
        <v>366</v>
      </c>
      <c r="F1338" s="71" t="s">
        <v>508</v>
      </c>
      <c r="G1338" s="71" t="s">
        <v>415</v>
      </c>
      <c r="H1338" s="71" t="s">
        <v>1663</v>
      </c>
      <c r="I1338" s="71" t="s">
        <v>1653</v>
      </c>
    </row>
    <row r="1339" spans="1:9" ht="43.5" x14ac:dyDescent="0.35">
      <c r="A1339" s="195">
        <v>8</v>
      </c>
      <c r="B1339" s="195">
        <v>126</v>
      </c>
      <c r="C1339" s="195" t="s">
        <v>1784</v>
      </c>
      <c r="D1339" s="195">
        <v>15</v>
      </c>
      <c r="E1339" s="195" t="s">
        <v>373</v>
      </c>
      <c r="F1339" s="71" t="s">
        <v>508</v>
      </c>
      <c r="G1339" s="71" t="s">
        <v>415</v>
      </c>
      <c r="H1339" s="71" t="s">
        <v>1663</v>
      </c>
      <c r="I1339" s="71" t="s">
        <v>1659</v>
      </c>
    </row>
    <row r="1340" spans="1:9" ht="43.5" x14ac:dyDescent="0.35">
      <c r="A1340" s="195">
        <v>8</v>
      </c>
      <c r="B1340" s="195">
        <v>127</v>
      </c>
      <c r="C1340" s="195" t="s">
        <v>1785</v>
      </c>
      <c r="D1340" s="64">
        <v>7415</v>
      </c>
      <c r="E1340" s="195" t="s">
        <v>373</v>
      </c>
      <c r="F1340" s="71" t="s">
        <v>508</v>
      </c>
      <c r="G1340" s="71" t="s">
        <v>415</v>
      </c>
      <c r="H1340" s="71" t="s">
        <v>1663</v>
      </c>
      <c r="I1340" s="71" t="s">
        <v>1661</v>
      </c>
    </row>
    <row r="1341" spans="1:9" ht="29" x14ac:dyDescent="0.35">
      <c r="A1341" s="195">
        <v>8</v>
      </c>
      <c r="B1341" s="195">
        <v>128</v>
      </c>
      <c r="C1341" s="195" t="s">
        <v>1786</v>
      </c>
      <c r="D1341" s="195">
        <v>275</v>
      </c>
      <c r="E1341" s="195" t="s">
        <v>366</v>
      </c>
      <c r="F1341" s="71" t="s">
        <v>508</v>
      </c>
      <c r="G1341" s="71" t="s">
        <v>415</v>
      </c>
      <c r="H1341" s="71" t="s">
        <v>1667</v>
      </c>
      <c r="I1341" s="71" t="s">
        <v>1653</v>
      </c>
    </row>
    <row r="1342" spans="1:9" ht="43.5" x14ac:dyDescent="0.35">
      <c r="A1342" s="195">
        <v>8</v>
      </c>
      <c r="B1342" s="195">
        <v>129</v>
      </c>
      <c r="C1342" s="195" t="s">
        <v>1787</v>
      </c>
      <c r="D1342" s="195">
        <v>15</v>
      </c>
      <c r="E1342" s="195" t="s">
        <v>373</v>
      </c>
      <c r="F1342" s="71" t="s">
        <v>508</v>
      </c>
      <c r="G1342" s="71" t="s">
        <v>415</v>
      </c>
      <c r="H1342" s="71" t="s">
        <v>1667</v>
      </c>
      <c r="I1342" s="71" t="s">
        <v>1659</v>
      </c>
    </row>
    <row r="1343" spans="1:9" ht="43.5" x14ac:dyDescent="0.35">
      <c r="A1343" s="195">
        <v>8</v>
      </c>
      <c r="B1343" s="195">
        <v>130</v>
      </c>
      <c r="C1343" s="195" t="s">
        <v>1788</v>
      </c>
      <c r="D1343" s="195">
        <v>260</v>
      </c>
      <c r="E1343" s="195" t="s">
        <v>373</v>
      </c>
      <c r="F1343" s="71" t="s">
        <v>508</v>
      </c>
      <c r="G1343" s="71" t="s">
        <v>415</v>
      </c>
      <c r="H1343" s="71" t="s">
        <v>1667</v>
      </c>
      <c r="I1343" s="71" t="s">
        <v>1661</v>
      </c>
    </row>
    <row r="1344" spans="1:9" ht="29" x14ac:dyDescent="0.35">
      <c r="A1344" s="195">
        <v>8</v>
      </c>
      <c r="B1344" s="195">
        <v>131</v>
      </c>
      <c r="C1344" s="195" t="s">
        <v>1789</v>
      </c>
      <c r="D1344" s="195">
        <v>0</v>
      </c>
      <c r="E1344" s="195" t="s">
        <v>366</v>
      </c>
      <c r="F1344" s="71" t="s">
        <v>508</v>
      </c>
      <c r="G1344" s="71" t="s">
        <v>415</v>
      </c>
      <c r="H1344" s="71" t="s">
        <v>1671</v>
      </c>
      <c r="I1344" s="71" t="s">
        <v>1653</v>
      </c>
    </row>
    <row r="1345" spans="1:9" ht="43.5" x14ac:dyDescent="0.35">
      <c r="A1345" s="195">
        <v>8</v>
      </c>
      <c r="B1345" s="195">
        <v>132</v>
      </c>
      <c r="C1345" s="195" t="s">
        <v>1790</v>
      </c>
      <c r="D1345" s="195">
        <v>0</v>
      </c>
      <c r="E1345" s="195" t="s">
        <v>373</v>
      </c>
      <c r="F1345" s="71" t="s">
        <v>508</v>
      </c>
      <c r="G1345" s="71" t="s">
        <v>415</v>
      </c>
      <c r="H1345" s="71" t="s">
        <v>1671</v>
      </c>
      <c r="I1345" s="71" t="s">
        <v>1659</v>
      </c>
    </row>
    <row r="1346" spans="1:9" ht="43.5" x14ac:dyDescent="0.35">
      <c r="A1346" s="195">
        <v>8</v>
      </c>
      <c r="B1346" s="195">
        <v>133</v>
      </c>
      <c r="C1346" s="195" t="s">
        <v>1791</v>
      </c>
      <c r="D1346" s="195">
        <v>0</v>
      </c>
      <c r="E1346" s="195" t="s">
        <v>373</v>
      </c>
      <c r="F1346" s="71" t="s">
        <v>508</v>
      </c>
      <c r="G1346" s="71" t="s">
        <v>415</v>
      </c>
      <c r="H1346" s="71" t="s">
        <v>1671</v>
      </c>
      <c r="I1346" s="71" t="s">
        <v>1661</v>
      </c>
    </row>
    <row r="1347" spans="1:9" ht="29" x14ac:dyDescent="0.35">
      <c r="A1347" s="195">
        <v>9</v>
      </c>
      <c r="B1347" s="195">
        <v>1</v>
      </c>
      <c r="C1347" s="195" t="s">
        <v>1792</v>
      </c>
      <c r="D1347" s="64">
        <v>1042580</v>
      </c>
      <c r="E1347" s="195" t="s">
        <v>26</v>
      </c>
      <c r="F1347" s="71" t="s">
        <v>361</v>
      </c>
      <c r="G1347" s="71" t="s">
        <v>364</v>
      </c>
      <c r="H1347" s="71" t="s">
        <v>1374</v>
      </c>
    </row>
    <row r="1348" spans="1:9" x14ac:dyDescent="0.35">
      <c r="A1348" s="195">
        <v>9</v>
      </c>
      <c r="B1348" s="195">
        <v>2</v>
      </c>
      <c r="C1348" s="195" t="s">
        <v>1793</v>
      </c>
      <c r="D1348" s="64">
        <v>459890</v>
      </c>
      <c r="E1348" s="195" t="s">
        <v>366</v>
      </c>
      <c r="F1348" s="71" t="s">
        <v>367</v>
      </c>
      <c r="G1348" s="71" t="s">
        <v>364</v>
      </c>
      <c r="H1348" s="71" t="s">
        <v>1374</v>
      </c>
    </row>
    <row r="1349" spans="1:9" ht="29" x14ac:dyDescent="0.35">
      <c r="A1349" s="195">
        <v>9</v>
      </c>
      <c r="B1349" s="195">
        <v>3</v>
      </c>
      <c r="C1349" s="195" t="s">
        <v>1794</v>
      </c>
      <c r="D1349" s="64">
        <v>224000</v>
      </c>
      <c r="E1349" s="195" t="s">
        <v>366</v>
      </c>
      <c r="F1349" s="71" t="s">
        <v>367</v>
      </c>
      <c r="G1349" s="71" t="s">
        <v>374</v>
      </c>
      <c r="H1349" s="71" t="s">
        <v>1374</v>
      </c>
    </row>
    <row r="1350" spans="1:9" ht="29" x14ac:dyDescent="0.35">
      <c r="A1350" s="195">
        <v>9</v>
      </c>
      <c r="B1350" s="195">
        <v>4</v>
      </c>
      <c r="C1350" s="195" t="s">
        <v>1795</v>
      </c>
      <c r="D1350" s="64">
        <v>162440</v>
      </c>
      <c r="E1350" s="195" t="s">
        <v>373</v>
      </c>
      <c r="F1350" s="71" t="s">
        <v>367</v>
      </c>
      <c r="G1350" s="71" t="s">
        <v>374</v>
      </c>
      <c r="H1350" s="71" t="s">
        <v>1657</v>
      </c>
    </row>
    <row r="1351" spans="1:9" ht="29" x14ac:dyDescent="0.35">
      <c r="A1351" s="195">
        <v>9</v>
      </c>
      <c r="B1351" s="195">
        <v>5</v>
      </c>
      <c r="C1351" s="195" t="s">
        <v>1796</v>
      </c>
      <c r="D1351" s="64">
        <v>33030</v>
      </c>
      <c r="E1351" s="195" t="s">
        <v>373</v>
      </c>
      <c r="F1351" s="71" t="s">
        <v>367</v>
      </c>
      <c r="G1351" s="71" t="s">
        <v>374</v>
      </c>
      <c r="H1351" s="71" t="s">
        <v>1663</v>
      </c>
    </row>
    <row r="1352" spans="1:9" ht="29" x14ac:dyDescent="0.35">
      <c r="A1352" s="195">
        <v>9</v>
      </c>
      <c r="B1352" s="195">
        <v>6</v>
      </c>
      <c r="C1352" s="195" t="s">
        <v>1797</v>
      </c>
      <c r="D1352" s="64">
        <v>26500</v>
      </c>
      <c r="E1352" s="195" t="s">
        <v>373</v>
      </c>
      <c r="F1352" s="71" t="s">
        <v>367</v>
      </c>
      <c r="G1352" s="71" t="s">
        <v>374</v>
      </c>
      <c r="H1352" s="71" t="s">
        <v>1667</v>
      </c>
    </row>
    <row r="1353" spans="1:9" ht="29" x14ac:dyDescent="0.35">
      <c r="A1353" s="195">
        <v>9</v>
      </c>
      <c r="B1353" s="195">
        <v>7</v>
      </c>
      <c r="C1353" s="195" t="s">
        <v>1798</v>
      </c>
      <c r="D1353" s="64">
        <v>2030</v>
      </c>
      <c r="E1353" s="195" t="s">
        <v>373</v>
      </c>
      <c r="F1353" s="71" t="s">
        <v>367</v>
      </c>
      <c r="G1353" s="71" t="s">
        <v>374</v>
      </c>
      <c r="H1353" s="71" t="s">
        <v>1671</v>
      </c>
    </row>
    <row r="1354" spans="1:9" ht="29" x14ac:dyDescent="0.35">
      <c r="A1354" s="195">
        <v>9</v>
      </c>
      <c r="B1354" s="195">
        <v>8</v>
      </c>
      <c r="C1354" s="195" t="s">
        <v>1799</v>
      </c>
      <c r="D1354" s="64">
        <v>108055</v>
      </c>
      <c r="E1354" s="195" t="s">
        <v>366</v>
      </c>
      <c r="F1354" s="71" t="s">
        <v>367</v>
      </c>
      <c r="G1354" s="71" t="s">
        <v>376</v>
      </c>
      <c r="H1354" s="71" t="s">
        <v>1374</v>
      </c>
    </row>
    <row r="1355" spans="1:9" ht="29" x14ac:dyDescent="0.35">
      <c r="A1355" s="195">
        <v>9</v>
      </c>
      <c r="B1355" s="195">
        <v>9</v>
      </c>
      <c r="C1355" s="195" t="s">
        <v>1800</v>
      </c>
      <c r="D1355" s="64">
        <v>65940</v>
      </c>
      <c r="E1355" s="195" t="s">
        <v>373</v>
      </c>
      <c r="F1355" s="71" t="s">
        <v>367</v>
      </c>
      <c r="G1355" s="71" t="s">
        <v>376</v>
      </c>
      <c r="H1355" s="71" t="s">
        <v>1657</v>
      </c>
    </row>
    <row r="1356" spans="1:9" ht="29" x14ac:dyDescent="0.35">
      <c r="A1356" s="195">
        <v>9</v>
      </c>
      <c r="B1356" s="195">
        <v>10</v>
      </c>
      <c r="C1356" s="195" t="s">
        <v>1801</v>
      </c>
      <c r="D1356" s="64">
        <v>19515</v>
      </c>
      <c r="E1356" s="195" t="s">
        <v>373</v>
      </c>
      <c r="F1356" s="71" t="s">
        <v>367</v>
      </c>
      <c r="G1356" s="71" t="s">
        <v>376</v>
      </c>
      <c r="H1356" s="71" t="s">
        <v>1663</v>
      </c>
    </row>
    <row r="1357" spans="1:9" ht="29" x14ac:dyDescent="0.35">
      <c r="A1357" s="195">
        <v>9</v>
      </c>
      <c r="B1357" s="195">
        <v>11</v>
      </c>
      <c r="C1357" s="195" t="s">
        <v>1802</v>
      </c>
      <c r="D1357" s="64">
        <v>20985</v>
      </c>
      <c r="E1357" s="195" t="s">
        <v>373</v>
      </c>
      <c r="F1357" s="71" t="s">
        <v>367</v>
      </c>
      <c r="G1357" s="71" t="s">
        <v>376</v>
      </c>
      <c r="H1357" s="71" t="s">
        <v>1667</v>
      </c>
    </row>
    <row r="1358" spans="1:9" ht="29" x14ac:dyDescent="0.35">
      <c r="A1358" s="195">
        <v>9</v>
      </c>
      <c r="B1358" s="195">
        <v>12</v>
      </c>
      <c r="C1358" s="195" t="s">
        <v>1803</v>
      </c>
      <c r="D1358" s="64">
        <v>1615</v>
      </c>
      <c r="E1358" s="195" t="s">
        <v>373</v>
      </c>
      <c r="F1358" s="71" t="s">
        <v>367</v>
      </c>
      <c r="G1358" s="71" t="s">
        <v>376</v>
      </c>
      <c r="H1358" s="71" t="s">
        <v>1671</v>
      </c>
    </row>
    <row r="1359" spans="1:9" ht="29" x14ac:dyDescent="0.35">
      <c r="A1359" s="195">
        <v>9</v>
      </c>
      <c r="B1359" s="195">
        <v>13</v>
      </c>
      <c r="C1359" s="195" t="s">
        <v>1804</v>
      </c>
      <c r="D1359" s="64">
        <v>27540</v>
      </c>
      <c r="E1359" s="195" t="s">
        <v>366</v>
      </c>
      <c r="F1359" s="71" t="s">
        <v>367</v>
      </c>
      <c r="G1359" s="71" t="s">
        <v>378</v>
      </c>
      <c r="H1359" s="71" t="s">
        <v>1374</v>
      </c>
    </row>
    <row r="1360" spans="1:9" ht="29" x14ac:dyDescent="0.35">
      <c r="A1360" s="195">
        <v>9</v>
      </c>
      <c r="B1360" s="195">
        <v>14</v>
      </c>
      <c r="C1360" s="195" t="s">
        <v>1805</v>
      </c>
      <c r="D1360" s="64">
        <v>18055</v>
      </c>
      <c r="E1360" s="195" t="s">
        <v>373</v>
      </c>
      <c r="F1360" s="71" t="s">
        <v>367</v>
      </c>
      <c r="G1360" s="71" t="s">
        <v>378</v>
      </c>
      <c r="H1360" s="71" t="s">
        <v>1657</v>
      </c>
    </row>
    <row r="1361" spans="1:8" ht="29" x14ac:dyDescent="0.35">
      <c r="A1361" s="195">
        <v>9</v>
      </c>
      <c r="B1361" s="195">
        <v>15</v>
      </c>
      <c r="C1361" s="195" t="s">
        <v>1806</v>
      </c>
      <c r="D1361" s="64">
        <v>4775</v>
      </c>
      <c r="E1361" s="195" t="s">
        <v>373</v>
      </c>
      <c r="F1361" s="71" t="s">
        <v>367</v>
      </c>
      <c r="G1361" s="71" t="s">
        <v>378</v>
      </c>
      <c r="H1361" s="71" t="s">
        <v>1663</v>
      </c>
    </row>
    <row r="1362" spans="1:8" ht="29" x14ac:dyDescent="0.35">
      <c r="A1362" s="195">
        <v>9</v>
      </c>
      <c r="B1362" s="195">
        <v>16</v>
      </c>
      <c r="C1362" s="195" t="s">
        <v>1807</v>
      </c>
      <c r="D1362" s="64">
        <v>4360</v>
      </c>
      <c r="E1362" s="195" t="s">
        <v>373</v>
      </c>
      <c r="F1362" s="71" t="s">
        <v>367</v>
      </c>
      <c r="G1362" s="71" t="s">
        <v>378</v>
      </c>
      <c r="H1362" s="71" t="s">
        <v>1667</v>
      </c>
    </row>
    <row r="1363" spans="1:8" ht="29" x14ac:dyDescent="0.35">
      <c r="A1363" s="195">
        <v>9</v>
      </c>
      <c r="B1363" s="195">
        <v>17</v>
      </c>
      <c r="C1363" s="195" t="s">
        <v>1808</v>
      </c>
      <c r="D1363" s="195">
        <v>345</v>
      </c>
      <c r="E1363" s="195" t="s">
        <v>373</v>
      </c>
      <c r="F1363" s="71" t="s">
        <v>367</v>
      </c>
      <c r="G1363" s="71" t="s">
        <v>378</v>
      </c>
      <c r="H1363" s="71" t="s">
        <v>1671</v>
      </c>
    </row>
    <row r="1364" spans="1:8" ht="29" x14ac:dyDescent="0.35">
      <c r="A1364" s="195">
        <v>9</v>
      </c>
      <c r="B1364" s="195">
        <v>18</v>
      </c>
      <c r="C1364" s="195" t="s">
        <v>1809</v>
      </c>
      <c r="D1364" s="64">
        <v>525</v>
      </c>
      <c r="E1364" s="195" t="s">
        <v>366</v>
      </c>
      <c r="F1364" s="71" t="s">
        <v>367</v>
      </c>
      <c r="G1364" s="71" t="s">
        <v>380</v>
      </c>
      <c r="H1364" s="71" t="s">
        <v>1374</v>
      </c>
    </row>
    <row r="1365" spans="1:8" ht="29" x14ac:dyDescent="0.35">
      <c r="A1365" s="195">
        <v>9</v>
      </c>
      <c r="B1365" s="195">
        <v>19</v>
      </c>
      <c r="C1365" s="195" t="s">
        <v>1810</v>
      </c>
      <c r="D1365" s="195">
        <v>310</v>
      </c>
      <c r="E1365" s="195" t="s">
        <v>373</v>
      </c>
      <c r="F1365" s="71" t="s">
        <v>367</v>
      </c>
      <c r="G1365" s="71" t="s">
        <v>380</v>
      </c>
      <c r="H1365" s="71" t="s">
        <v>1657</v>
      </c>
    </row>
    <row r="1366" spans="1:8" ht="29" x14ac:dyDescent="0.35">
      <c r="A1366" s="195">
        <v>9</v>
      </c>
      <c r="B1366" s="195">
        <v>20</v>
      </c>
      <c r="C1366" s="195" t="s">
        <v>1811</v>
      </c>
      <c r="D1366" s="195">
        <v>70</v>
      </c>
      <c r="E1366" s="195" t="s">
        <v>373</v>
      </c>
      <c r="F1366" s="71" t="s">
        <v>367</v>
      </c>
      <c r="G1366" s="71" t="s">
        <v>380</v>
      </c>
      <c r="H1366" s="71" t="s">
        <v>1663</v>
      </c>
    </row>
    <row r="1367" spans="1:8" ht="29" x14ac:dyDescent="0.35">
      <c r="A1367" s="195">
        <v>9</v>
      </c>
      <c r="B1367" s="195">
        <v>21</v>
      </c>
      <c r="C1367" s="195" t="s">
        <v>1812</v>
      </c>
      <c r="D1367" s="195">
        <v>85</v>
      </c>
      <c r="E1367" s="195" t="s">
        <v>373</v>
      </c>
      <c r="F1367" s="71" t="s">
        <v>367</v>
      </c>
      <c r="G1367" s="71" t="s">
        <v>380</v>
      </c>
      <c r="H1367" s="71" t="s">
        <v>1667</v>
      </c>
    </row>
    <row r="1368" spans="1:8" ht="29" x14ac:dyDescent="0.35">
      <c r="A1368" s="195">
        <v>9</v>
      </c>
      <c r="B1368" s="195">
        <v>22</v>
      </c>
      <c r="C1368" s="195" t="s">
        <v>1813</v>
      </c>
      <c r="D1368" s="195">
        <v>60</v>
      </c>
      <c r="E1368" s="195" t="s">
        <v>373</v>
      </c>
      <c r="F1368" s="71" t="s">
        <v>367</v>
      </c>
      <c r="G1368" s="71" t="s">
        <v>380</v>
      </c>
      <c r="H1368" s="71" t="s">
        <v>1671</v>
      </c>
    </row>
    <row r="1369" spans="1:8" ht="29" x14ac:dyDescent="0.35">
      <c r="A1369" s="195">
        <v>9</v>
      </c>
      <c r="B1369" s="195">
        <v>23</v>
      </c>
      <c r="C1369" s="195" t="s">
        <v>1814</v>
      </c>
      <c r="D1369" s="195">
        <v>90</v>
      </c>
      <c r="E1369" s="195" t="s">
        <v>366</v>
      </c>
      <c r="F1369" s="71" t="s">
        <v>367</v>
      </c>
      <c r="G1369" s="71" t="s">
        <v>382</v>
      </c>
      <c r="H1369" s="71" t="s">
        <v>1374</v>
      </c>
    </row>
    <row r="1370" spans="1:8" ht="29" x14ac:dyDescent="0.35">
      <c r="A1370" s="195">
        <v>9</v>
      </c>
      <c r="B1370" s="195">
        <v>24</v>
      </c>
      <c r="C1370" s="195" t="s">
        <v>1815</v>
      </c>
      <c r="D1370" s="195">
        <v>80</v>
      </c>
      <c r="E1370" s="195" t="s">
        <v>373</v>
      </c>
      <c r="F1370" s="71" t="s">
        <v>367</v>
      </c>
      <c r="G1370" s="71" t="s">
        <v>382</v>
      </c>
      <c r="H1370" s="71" t="s">
        <v>1657</v>
      </c>
    </row>
    <row r="1371" spans="1:8" ht="29" x14ac:dyDescent="0.35">
      <c r="A1371" s="195">
        <v>9</v>
      </c>
      <c r="B1371" s="195">
        <v>25</v>
      </c>
      <c r="C1371" s="195" t="s">
        <v>1816</v>
      </c>
      <c r="D1371" s="195">
        <v>0</v>
      </c>
      <c r="E1371" s="195" t="s">
        <v>373</v>
      </c>
      <c r="F1371" s="71" t="s">
        <v>367</v>
      </c>
      <c r="G1371" s="71" t="s">
        <v>382</v>
      </c>
      <c r="H1371" s="71" t="s">
        <v>1663</v>
      </c>
    </row>
    <row r="1372" spans="1:8" ht="29" x14ac:dyDescent="0.35">
      <c r="A1372" s="195">
        <v>9</v>
      </c>
      <c r="B1372" s="195">
        <v>26</v>
      </c>
      <c r="C1372" s="195" t="s">
        <v>1817</v>
      </c>
      <c r="D1372" s="195">
        <v>10</v>
      </c>
      <c r="E1372" s="195" t="s">
        <v>373</v>
      </c>
      <c r="F1372" s="71" t="s">
        <v>367</v>
      </c>
      <c r="G1372" s="71" t="s">
        <v>382</v>
      </c>
      <c r="H1372" s="71" t="s">
        <v>1667</v>
      </c>
    </row>
    <row r="1373" spans="1:8" ht="29" x14ac:dyDescent="0.35">
      <c r="A1373" s="195">
        <v>9</v>
      </c>
      <c r="B1373" s="195">
        <v>27</v>
      </c>
      <c r="C1373" s="195" t="s">
        <v>1818</v>
      </c>
      <c r="D1373" s="195">
        <v>0</v>
      </c>
      <c r="E1373" s="195" t="s">
        <v>373</v>
      </c>
      <c r="F1373" s="71" t="s">
        <v>367</v>
      </c>
      <c r="G1373" s="71" t="s">
        <v>382</v>
      </c>
      <c r="H1373" s="71" t="s">
        <v>1671</v>
      </c>
    </row>
    <row r="1374" spans="1:8" x14ac:dyDescent="0.35">
      <c r="A1374" s="195">
        <v>9</v>
      </c>
      <c r="B1374" s="195">
        <v>28</v>
      </c>
      <c r="C1374" s="195" t="s">
        <v>1819</v>
      </c>
      <c r="D1374" s="64">
        <v>94470</v>
      </c>
      <c r="E1374" s="195" t="s">
        <v>366</v>
      </c>
      <c r="F1374" s="71" t="s">
        <v>367</v>
      </c>
      <c r="G1374" s="71" t="s">
        <v>384</v>
      </c>
      <c r="H1374" s="71" t="s">
        <v>1374</v>
      </c>
    </row>
    <row r="1375" spans="1:8" ht="29" x14ac:dyDescent="0.35">
      <c r="A1375" s="195">
        <v>9</v>
      </c>
      <c r="B1375" s="195">
        <v>29</v>
      </c>
      <c r="C1375" s="195" t="s">
        <v>1820</v>
      </c>
      <c r="D1375" s="64">
        <v>55290</v>
      </c>
      <c r="E1375" s="195" t="s">
        <v>373</v>
      </c>
      <c r="F1375" s="71" t="s">
        <v>367</v>
      </c>
      <c r="G1375" s="71" t="s">
        <v>384</v>
      </c>
      <c r="H1375" s="71" t="s">
        <v>1657</v>
      </c>
    </row>
    <row r="1376" spans="1:8" ht="29" x14ac:dyDescent="0.35">
      <c r="A1376" s="195">
        <v>9</v>
      </c>
      <c r="B1376" s="195">
        <v>30</v>
      </c>
      <c r="C1376" s="195" t="s">
        <v>1821</v>
      </c>
      <c r="D1376" s="64">
        <v>20610</v>
      </c>
      <c r="E1376" s="195" t="s">
        <v>373</v>
      </c>
      <c r="F1376" s="71" t="s">
        <v>367</v>
      </c>
      <c r="G1376" s="71" t="s">
        <v>384</v>
      </c>
      <c r="H1376" s="71" t="s">
        <v>1663</v>
      </c>
    </row>
    <row r="1377" spans="1:8" x14ac:dyDescent="0.35">
      <c r="A1377" s="195">
        <v>9</v>
      </c>
      <c r="B1377" s="195">
        <v>31</v>
      </c>
      <c r="C1377" s="195" t="s">
        <v>1822</v>
      </c>
      <c r="D1377" s="64">
        <v>17990</v>
      </c>
      <c r="E1377" s="195" t="s">
        <v>373</v>
      </c>
      <c r="F1377" s="71" t="s">
        <v>367</v>
      </c>
      <c r="G1377" s="71" t="s">
        <v>384</v>
      </c>
      <c r="H1377" s="71" t="s">
        <v>1667</v>
      </c>
    </row>
    <row r="1378" spans="1:8" ht="29" x14ac:dyDescent="0.35">
      <c r="A1378" s="195">
        <v>9</v>
      </c>
      <c r="B1378" s="195">
        <v>32</v>
      </c>
      <c r="C1378" s="195" t="s">
        <v>1823</v>
      </c>
      <c r="D1378" s="64">
        <v>580</v>
      </c>
      <c r="E1378" s="195" t="s">
        <v>373</v>
      </c>
      <c r="F1378" s="71" t="s">
        <v>367</v>
      </c>
      <c r="G1378" s="71" t="s">
        <v>384</v>
      </c>
      <c r="H1378" s="71" t="s">
        <v>1671</v>
      </c>
    </row>
    <row r="1379" spans="1:8" ht="29" x14ac:dyDescent="0.35">
      <c r="A1379" s="195">
        <v>9</v>
      </c>
      <c r="B1379" s="195">
        <v>33</v>
      </c>
      <c r="C1379" s="195" t="s">
        <v>1824</v>
      </c>
      <c r="D1379" s="64">
        <v>5210</v>
      </c>
      <c r="E1379" s="195" t="s">
        <v>366</v>
      </c>
      <c r="F1379" s="71" t="s">
        <v>367</v>
      </c>
      <c r="G1379" s="71" t="s">
        <v>386</v>
      </c>
      <c r="H1379" s="71" t="s">
        <v>1374</v>
      </c>
    </row>
    <row r="1380" spans="1:8" ht="29" x14ac:dyDescent="0.35">
      <c r="A1380" s="195">
        <v>9</v>
      </c>
      <c r="B1380" s="195">
        <v>34</v>
      </c>
      <c r="C1380" s="195" t="s">
        <v>1825</v>
      </c>
      <c r="D1380" s="64">
        <v>3870</v>
      </c>
      <c r="E1380" s="195" t="s">
        <v>373</v>
      </c>
      <c r="F1380" s="71" t="s">
        <v>367</v>
      </c>
      <c r="G1380" s="71" t="s">
        <v>386</v>
      </c>
      <c r="H1380" s="71" t="s">
        <v>1657</v>
      </c>
    </row>
    <row r="1381" spans="1:8" ht="29" x14ac:dyDescent="0.35">
      <c r="A1381" s="195">
        <v>9</v>
      </c>
      <c r="B1381" s="195">
        <v>35</v>
      </c>
      <c r="C1381" s="195" t="s">
        <v>1826</v>
      </c>
      <c r="D1381" s="64">
        <v>635</v>
      </c>
      <c r="E1381" s="195" t="s">
        <v>373</v>
      </c>
      <c r="F1381" s="71" t="s">
        <v>367</v>
      </c>
      <c r="G1381" s="71" t="s">
        <v>386</v>
      </c>
      <c r="H1381" s="71" t="s">
        <v>1663</v>
      </c>
    </row>
    <row r="1382" spans="1:8" ht="29" x14ac:dyDescent="0.35">
      <c r="A1382" s="195">
        <v>9</v>
      </c>
      <c r="B1382" s="195">
        <v>36</v>
      </c>
      <c r="C1382" s="195" t="s">
        <v>1827</v>
      </c>
      <c r="D1382" s="64">
        <v>645</v>
      </c>
      <c r="E1382" s="195" t="s">
        <v>373</v>
      </c>
      <c r="F1382" s="71" t="s">
        <v>367</v>
      </c>
      <c r="G1382" s="71" t="s">
        <v>386</v>
      </c>
      <c r="H1382" s="71" t="s">
        <v>1667</v>
      </c>
    </row>
    <row r="1383" spans="1:8" ht="29" x14ac:dyDescent="0.35">
      <c r="A1383" s="195">
        <v>9</v>
      </c>
      <c r="B1383" s="195">
        <v>37</v>
      </c>
      <c r="C1383" s="195" t="s">
        <v>1828</v>
      </c>
      <c r="D1383" s="195">
        <v>60</v>
      </c>
      <c r="E1383" s="195" t="s">
        <v>373</v>
      </c>
      <c r="F1383" s="71" t="s">
        <v>367</v>
      </c>
      <c r="G1383" s="71" t="s">
        <v>386</v>
      </c>
      <c r="H1383" s="71" t="s">
        <v>1671</v>
      </c>
    </row>
    <row r="1384" spans="1:8" x14ac:dyDescent="0.35">
      <c r="A1384" s="195">
        <v>9</v>
      </c>
      <c r="B1384" s="195">
        <v>38</v>
      </c>
      <c r="C1384" s="195" t="s">
        <v>1829</v>
      </c>
      <c r="D1384" s="64">
        <v>582690</v>
      </c>
      <c r="E1384" s="195" t="s">
        <v>366</v>
      </c>
      <c r="F1384" s="71" t="s">
        <v>508</v>
      </c>
      <c r="G1384" s="71" t="s">
        <v>364</v>
      </c>
      <c r="H1384" s="71" t="s">
        <v>1374</v>
      </c>
    </row>
    <row r="1385" spans="1:8" ht="29" x14ac:dyDescent="0.35">
      <c r="A1385" s="195">
        <v>9</v>
      </c>
      <c r="B1385" s="195">
        <v>39</v>
      </c>
      <c r="C1385" s="195" t="s">
        <v>1830</v>
      </c>
      <c r="D1385" s="64">
        <v>204365</v>
      </c>
      <c r="E1385" s="195" t="s">
        <v>366</v>
      </c>
      <c r="F1385" s="71" t="s">
        <v>508</v>
      </c>
      <c r="G1385" s="71" t="s">
        <v>374</v>
      </c>
      <c r="H1385" s="71" t="s">
        <v>1374</v>
      </c>
    </row>
    <row r="1386" spans="1:8" ht="29" x14ac:dyDescent="0.35">
      <c r="A1386" s="195">
        <v>9</v>
      </c>
      <c r="B1386" s="195">
        <v>40</v>
      </c>
      <c r="C1386" s="195" t="s">
        <v>1831</v>
      </c>
      <c r="D1386" s="64">
        <v>125350</v>
      </c>
      <c r="E1386" s="195" t="s">
        <v>373</v>
      </c>
      <c r="F1386" s="71" t="s">
        <v>508</v>
      </c>
      <c r="G1386" s="71" t="s">
        <v>374</v>
      </c>
      <c r="H1386" s="71" t="s">
        <v>1657</v>
      </c>
    </row>
    <row r="1387" spans="1:8" ht="29" x14ac:dyDescent="0.35">
      <c r="A1387" s="195">
        <v>9</v>
      </c>
      <c r="B1387" s="195">
        <v>41</v>
      </c>
      <c r="C1387" s="195" t="s">
        <v>1832</v>
      </c>
      <c r="D1387" s="64">
        <v>38255</v>
      </c>
      <c r="E1387" s="195" t="s">
        <v>373</v>
      </c>
      <c r="F1387" s="71" t="s">
        <v>508</v>
      </c>
      <c r="G1387" s="71" t="s">
        <v>374</v>
      </c>
      <c r="H1387" s="71" t="s">
        <v>1663</v>
      </c>
    </row>
    <row r="1388" spans="1:8" ht="29" x14ac:dyDescent="0.35">
      <c r="A1388" s="195">
        <v>9</v>
      </c>
      <c r="B1388" s="195">
        <v>42</v>
      </c>
      <c r="C1388" s="195" t="s">
        <v>1833</v>
      </c>
      <c r="D1388" s="64">
        <v>36280</v>
      </c>
      <c r="E1388" s="195" t="s">
        <v>373</v>
      </c>
      <c r="F1388" s="71" t="s">
        <v>508</v>
      </c>
      <c r="G1388" s="71" t="s">
        <v>374</v>
      </c>
      <c r="H1388" s="71" t="s">
        <v>1667</v>
      </c>
    </row>
    <row r="1389" spans="1:8" ht="29" x14ac:dyDescent="0.35">
      <c r="A1389" s="195">
        <v>9</v>
      </c>
      <c r="B1389" s="195">
        <v>43</v>
      </c>
      <c r="C1389" s="195" t="s">
        <v>1834</v>
      </c>
      <c r="D1389" s="64">
        <v>4480</v>
      </c>
      <c r="E1389" s="195" t="s">
        <v>373</v>
      </c>
      <c r="F1389" s="71" t="s">
        <v>508</v>
      </c>
      <c r="G1389" s="71" t="s">
        <v>374</v>
      </c>
      <c r="H1389" s="71" t="s">
        <v>1671</v>
      </c>
    </row>
    <row r="1390" spans="1:8" ht="29" x14ac:dyDescent="0.35">
      <c r="A1390" s="195">
        <v>9</v>
      </c>
      <c r="B1390" s="195">
        <v>44</v>
      </c>
      <c r="C1390" s="195" t="s">
        <v>1835</v>
      </c>
      <c r="D1390" s="64">
        <v>208245</v>
      </c>
      <c r="E1390" s="195" t="s">
        <v>366</v>
      </c>
      <c r="F1390" s="71" t="s">
        <v>508</v>
      </c>
      <c r="G1390" s="71" t="s">
        <v>376</v>
      </c>
      <c r="H1390" s="71" t="s">
        <v>1374</v>
      </c>
    </row>
    <row r="1391" spans="1:8" ht="29" x14ac:dyDescent="0.35">
      <c r="A1391" s="195">
        <v>9</v>
      </c>
      <c r="B1391" s="195">
        <v>45</v>
      </c>
      <c r="C1391" s="195" t="s">
        <v>1836</v>
      </c>
      <c r="D1391" s="64">
        <v>81210</v>
      </c>
      <c r="E1391" s="195" t="s">
        <v>373</v>
      </c>
      <c r="F1391" s="71" t="s">
        <v>508</v>
      </c>
      <c r="G1391" s="71" t="s">
        <v>376</v>
      </c>
      <c r="H1391" s="71" t="s">
        <v>1657</v>
      </c>
    </row>
    <row r="1392" spans="1:8" ht="29" x14ac:dyDescent="0.35">
      <c r="A1392" s="195">
        <v>9</v>
      </c>
      <c r="B1392" s="195">
        <v>46</v>
      </c>
      <c r="C1392" s="195" t="s">
        <v>1837</v>
      </c>
      <c r="D1392" s="64">
        <v>44535</v>
      </c>
      <c r="E1392" s="195" t="s">
        <v>373</v>
      </c>
      <c r="F1392" s="71" t="s">
        <v>508</v>
      </c>
      <c r="G1392" s="71" t="s">
        <v>376</v>
      </c>
      <c r="H1392" s="71" t="s">
        <v>1663</v>
      </c>
    </row>
    <row r="1393" spans="1:8" ht="29" x14ac:dyDescent="0.35">
      <c r="A1393" s="195">
        <v>9</v>
      </c>
      <c r="B1393" s="195">
        <v>47</v>
      </c>
      <c r="C1393" s="195" t="s">
        <v>1838</v>
      </c>
      <c r="D1393" s="64">
        <v>69950</v>
      </c>
      <c r="E1393" s="195" t="s">
        <v>373</v>
      </c>
      <c r="F1393" s="71" t="s">
        <v>508</v>
      </c>
      <c r="G1393" s="71" t="s">
        <v>376</v>
      </c>
      <c r="H1393" s="71" t="s">
        <v>1667</v>
      </c>
    </row>
    <row r="1394" spans="1:8" ht="29" x14ac:dyDescent="0.35">
      <c r="A1394" s="195">
        <v>9</v>
      </c>
      <c r="B1394" s="195">
        <v>48</v>
      </c>
      <c r="C1394" s="195" t="s">
        <v>1839</v>
      </c>
      <c r="D1394" s="64">
        <v>12550</v>
      </c>
      <c r="E1394" s="195" t="s">
        <v>373</v>
      </c>
      <c r="F1394" s="71" t="s">
        <v>508</v>
      </c>
      <c r="G1394" s="71" t="s">
        <v>376</v>
      </c>
      <c r="H1394" s="71" t="s">
        <v>1671</v>
      </c>
    </row>
    <row r="1395" spans="1:8" ht="29" x14ac:dyDescent="0.35">
      <c r="A1395" s="195">
        <v>9</v>
      </c>
      <c r="B1395" s="195">
        <v>49</v>
      </c>
      <c r="C1395" s="195" t="s">
        <v>1840</v>
      </c>
      <c r="D1395" s="64">
        <v>34900</v>
      </c>
      <c r="E1395" s="195" t="s">
        <v>366</v>
      </c>
      <c r="F1395" s="71" t="s">
        <v>508</v>
      </c>
      <c r="G1395" s="71" t="s">
        <v>378</v>
      </c>
      <c r="H1395" s="71" t="s">
        <v>1374</v>
      </c>
    </row>
    <row r="1396" spans="1:8" ht="29" x14ac:dyDescent="0.35">
      <c r="A1396" s="195">
        <v>9</v>
      </c>
      <c r="B1396" s="195">
        <v>50</v>
      </c>
      <c r="C1396" s="195" t="s">
        <v>1841</v>
      </c>
      <c r="D1396" s="64">
        <v>19295</v>
      </c>
      <c r="E1396" s="195" t="s">
        <v>373</v>
      </c>
      <c r="F1396" s="71" t="s">
        <v>508</v>
      </c>
      <c r="G1396" s="71" t="s">
        <v>378</v>
      </c>
      <c r="H1396" s="71" t="s">
        <v>1657</v>
      </c>
    </row>
    <row r="1397" spans="1:8" ht="29" x14ac:dyDescent="0.35">
      <c r="A1397" s="195">
        <v>9</v>
      </c>
      <c r="B1397" s="195">
        <v>51</v>
      </c>
      <c r="C1397" s="195" t="s">
        <v>1842</v>
      </c>
      <c r="D1397" s="64">
        <v>6030</v>
      </c>
      <c r="E1397" s="195" t="s">
        <v>373</v>
      </c>
      <c r="F1397" s="71" t="s">
        <v>508</v>
      </c>
      <c r="G1397" s="71" t="s">
        <v>378</v>
      </c>
      <c r="H1397" s="71" t="s">
        <v>1663</v>
      </c>
    </row>
    <row r="1398" spans="1:8" ht="29" x14ac:dyDescent="0.35">
      <c r="A1398" s="195">
        <v>9</v>
      </c>
      <c r="B1398" s="195">
        <v>52</v>
      </c>
      <c r="C1398" s="195" t="s">
        <v>1843</v>
      </c>
      <c r="D1398" s="64">
        <v>7070</v>
      </c>
      <c r="E1398" s="195" t="s">
        <v>373</v>
      </c>
      <c r="F1398" s="71" t="s">
        <v>508</v>
      </c>
      <c r="G1398" s="71" t="s">
        <v>378</v>
      </c>
      <c r="H1398" s="71" t="s">
        <v>1667</v>
      </c>
    </row>
    <row r="1399" spans="1:8" ht="29" x14ac:dyDescent="0.35">
      <c r="A1399" s="195">
        <v>9</v>
      </c>
      <c r="B1399" s="195">
        <v>53</v>
      </c>
      <c r="C1399" s="195" t="s">
        <v>1844</v>
      </c>
      <c r="D1399" s="64">
        <v>2500</v>
      </c>
      <c r="E1399" s="195" t="s">
        <v>373</v>
      </c>
      <c r="F1399" s="71" t="s">
        <v>508</v>
      </c>
      <c r="G1399" s="71" t="s">
        <v>378</v>
      </c>
      <c r="H1399" s="71" t="s">
        <v>1671</v>
      </c>
    </row>
    <row r="1400" spans="1:8" ht="29" x14ac:dyDescent="0.35">
      <c r="A1400" s="195">
        <v>9</v>
      </c>
      <c r="B1400" s="195">
        <v>54</v>
      </c>
      <c r="C1400" s="195" t="s">
        <v>1845</v>
      </c>
      <c r="D1400" s="64">
        <v>1050</v>
      </c>
      <c r="E1400" s="195" t="s">
        <v>366</v>
      </c>
      <c r="F1400" s="71" t="s">
        <v>508</v>
      </c>
      <c r="G1400" s="71" t="s">
        <v>380</v>
      </c>
      <c r="H1400" s="71" t="s">
        <v>1374</v>
      </c>
    </row>
    <row r="1401" spans="1:8" ht="29" x14ac:dyDescent="0.35">
      <c r="A1401" s="195">
        <v>9</v>
      </c>
      <c r="B1401" s="195">
        <v>55</v>
      </c>
      <c r="C1401" s="195" t="s">
        <v>1846</v>
      </c>
      <c r="D1401" s="195">
        <v>495</v>
      </c>
      <c r="E1401" s="195" t="s">
        <v>373</v>
      </c>
      <c r="F1401" s="71" t="s">
        <v>508</v>
      </c>
      <c r="G1401" s="71" t="s">
        <v>380</v>
      </c>
      <c r="H1401" s="71" t="s">
        <v>1657</v>
      </c>
    </row>
    <row r="1402" spans="1:8" ht="29" x14ac:dyDescent="0.35">
      <c r="A1402" s="195">
        <v>9</v>
      </c>
      <c r="B1402" s="195">
        <v>56</v>
      </c>
      <c r="C1402" s="195" t="s">
        <v>1847</v>
      </c>
      <c r="D1402" s="195">
        <v>165</v>
      </c>
      <c r="E1402" s="195" t="s">
        <v>373</v>
      </c>
      <c r="F1402" s="71" t="s">
        <v>508</v>
      </c>
      <c r="G1402" s="71" t="s">
        <v>380</v>
      </c>
      <c r="H1402" s="71" t="s">
        <v>1663</v>
      </c>
    </row>
    <row r="1403" spans="1:8" ht="29" x14ac:dyDescent="0.35">
      <c r="A1403" s="195">
        <v>9</v>
      </c>
      <c r="B1403" s="195">
        <v>57</v>
      </c>
      <c r="C1403" s="195" t="s">
        <v>1848</v>
      </c>
      <c r="D1403" s="195">
        <v>330</v>
      </c>
      <c r="E1403" s="195" t="s">
        <v>373</v>
      </c>
      <c r="F1403" s="71" t="s">
        <v>508</v>
      </c>
      <c r="G1403" s="71" t="s">
        <v>380</v>
      </c>
      <c r="H1403" s="71" t="s">
        <v>1667</v>
      </c>
    </row>
    <row r="1404" spans="1:8" ht="29" x14ac:dyDescent="0.35">
      <c r="A1404" s="195">
        <v>9</v>
      </c>
      <c r="B1404" s="195">
        <v>58</v>
      </c>
      <c r="C1404" s="195" t="s">
        <v>1849</v>
      </c>
      <c r="D1404" s="195">
        <v>60</v>
      </c>
      <c r="E1404" s="195" t="s">
        <v>373</v>
      </c>
      <c r="F1404" s="71" t="s">
        <v>508</v>
      </c>
      <c r="G1404" s="71" t="s">
        <v>380</v>
      </c>
      <c r="H1404" s="71" t="s">
        <v>1671</v>
      </c>
    </row>
    <row r="1405" spans="1:8" ht="29" x14ac:dyDescent="0.35">
      <c r="A1405" s="195">
        <v>9</v>
      </c>
      <c r="B1405" s="195">
        <v>59</v>
      </c>
      <c r="C1405" s="195" t="s">
        <v>1850</v>
      </c>
      <c r="D1405" s="195">
        <v>105</v>
      </c>
      <c r="E1405" s="195" t="s">
        <v>366</v>
      </c>
      <c r="F1405" s="71" t="s">
        <v>508</v>
      </c>
      <c r="G1405" s="71" t="s">
        <v>382</v>
      </c>
      <c r="H1405" s="71" t="s">
        <v>1374</v>
      </c>
    </row>
    <row r="1406" spans="1:8" ht="29" x14ac:dyDescent="0.35">
      <c r="A1406" s="195">
        <v>9</v>
      </c>
      <c r="B1406" s="195">
        <v>60</v>
      </c>
      <c r="C1406" s="195" t="s">
        <v>1851</v>
      </c>
      <c r="D1406" s="195">
        <v>65</v>
      </c>
      <c r="E1406" s="195" t="s">
        <v>373</v>
      </c>
      <c r="F1406" s="71" t="s">
        <v>508</v>
      </c>
      <c r="G1406" s="71" t="s">
        <v>382</v>
      </c>
      <c r="H1406" s="71" t="s">
        <v>1657</v>
      </c>
    </row>
    <row r="1407" spans="1:8" ht="29" x14ac:dyDescent="0.35">
      <c r="A1407" s="195">
        <v>9</v>
      </c>
      <c r="B1407" s="195">
        <v>61</v>
      </c>
      <c r="C1407" s="195" t="s">
        <v>1852</v>
      </c>
      <c r="D1407" s="195">
        <v>25</v>
      </c>
      <c r="E1407" s="195" t="s">
        <v>373</v>
      </c>
      <c r="F1407" s="71" t="s">
        <v>508</v>
      </c>
      <c r="G1407" s="71" t="s">
        <v>382</v>
      </c>
      <c r="H1407" s="71" t="s">
        <v>1663</v>
      </c>
    </row>
    <row r="1408" spans="1:8" ht="29" x14ac:dyDescent="0.35">
      <c r="A1408" s="195">
        <v>9</v>
      </c>
      <c r="B1408" s="195">
        <v>62</v>
      </c>
      <c r="C1408" s="195" t="s">
        <v>1853</v>
      </c>
      <c r="D1408" s="195">
        <v>10</v>
      </c>
      <c r="E1408" s="195" t="s">
        <v>373</v>
      </c>
      <c r="F1408" s="71" t="s">
        <v>508</v>
      </c>
      <c r="G1408" s="71" t="s">
        <v>382</v>
      </c>
      <c r="H1408" s="71" t="s">
        <v>1667</v>
      </c>
    </row>
    <row r="1409" spans="1:9" ht="29" x14ac:dyDescent="0.35">
      <c r="A1409" s="195">
        <v>9</v>
      </c>
      <c r="B1409" s="195">
        <v>63</v>
      </c>
      <c r="C1409" s="195" t="s">
        <v>1854</v>
      </c>
      <c r="D1409" s="195">
        <v>10</v>
      </c>
      <c r="E1409" s="195" t="s">
        <v>373</v>
      </c>
      <c r="F1409" s="71" t="s">
        <v>508</v>
      </c>
      <c r="G1409" s="71" t="s">
        <v>382</v>
      </c>
      <c r="H1409" s="71" t="s">
        <v>1671</v>
      </c>
    </row>
    <row r="1410" spans="1:9" x14ac:dyDescent="0.35">
      <c r="A1410" s="195">
        <v>9</v>
      </c>
      <c r="B1410" s="195">
        <v>64</v>
      </c>
      <c r="C1410" s="195" t="s">
        <v>1855</v>
      </c>
      <c r="D1410" s="64">
        <v>122885</v>
      </c>
      <c r="E1410" s="195" t="s">
        <v>366</v>
      </c>
      <c r="F1410" s="71" t="s">
        <v>508</v>
      </c>
      <c r="G1410" s="71" t="s">
        <v>384</v>
      </c>
      <c r="H1410" s="71" t="s">
        <v>1374</v>
      </c>
    </row>
    <row r="1411" spans="1:9" ht="29" x14ac:dyDescent="0.35">
      <c r="A1411" s="195">
        <v>9</v>
      </c>
      <c r="B1411" s="195">
        <v>65</v>
      </c>
      <c r="C1411" s="195" t="s">
        <v>1856</v>
      </c>
      <c r="D1411" s="64">
        <v>59310</v>
      </c>
      <c r="E1411" s="195" t="s">
        <v>373</v>
      </c>
      <c r="F1411" s="71" t="s">
        <v>508</v>
      </c>
      <c r="G1411" s="71" t="s">
        <v>384</v>
      </c>
      <c r="H1411" s="71" t="s">
        <v>1657</v>
      </c>
    </row>
    <row r="1412" spans="1:9" ht="29" x14ac:dyDescent="0.35">
      <c r="A1412" s="195">
        <v>9</v>
      </c>
      <c r="B1412" s="195">
        <v>66</v>
      </c>
      <c r="C1412" s="195" t="s">
        <v>1857</v>
      </c>
      <c r="D1412" s="64">
        <v>31500</v>
      </c>
      <c r="E1412" s="195" t="s">
        <v>373</v>
      </c>
      <c r="F1412" s="71" t="s">
        <v>508</v>
      </c>
      <c r="G1412" s="71" t="s">
        <v>384</v>
      </c>
      <c r="H1412" s="71" t="s">
        <v>1663</v>
      </c>
    </row>
    <row r="1413" spans="1:9" x14ac:dyDescent="0.35">
      <c r="A1413" s="195">
        <v>9</v>
      </c>
      <c r="B1413" s="195">
        <v>67</v>
      </c>
      <c r="C1413" s="195" t="s">
        <v>1858</v>
      </c>
      <c r="D1413" s="64">
        <v>29400</v>
      </c>
      <c r="E1413" s="195" t="s">
        <v>373</v>
      </c>
      <c r="F1413" s="71" t="s">
        <v>508</v>
      </c>
      <c r="G1413" s="71" t="s">
        <v>384</v>
      </c>
      <c r="H1413" s="71" t="s">
        <v>1667</v>
      </c>
    </row>
    <row r="1414" spans="1:9" ht="29" x14ac:dyDescent="0.35">
      <c r="A1414" s="195">
        <v>9</v>
      </c>
      <c r="B1414" s="195">
        <v>68</v>
      </c>
      <c r="C1414" s="195" t="s">
        <v>1859</v>
      </c>
      <c r="D1414" s="64">
        <v>2675</v>
      </c>
      <c r="E1414" s="195" t="s">
        <v>373</v>
      </c>
      <c r="F1414" s="71" t="s">
        <v>508</v>
      </c>
      <c r="G1414" s="71" t="s">
        <v>384</v>
      </c>
      <c r="H1414" s="71" t="s">
        <v>1671</v>
      </c>
    </row>
    <row r="1415" spans="1:9" ht="29" x14ac:dyDescent="0.35">
      <c r="A1415" s="195">
        <v>9</v>
      </c>
      <c r="B1415" s="195">
        <v>69</v>
      </c>
      <c r="C1415" s="195" t="s">
        <v>1860</v>
      </c>
      <c r="D1415" s="64">
        <v>11140</v>
      </c>
      <c r="E1415" s="195" t="s">
        <v>366</v>
      </c>
      <c r="F1415" s="71" t="s">
        <v>508</v>
      </c>
      <c r="G1415" s="71" t="s">
        <v>386</v>
      </c>
      <c r="H1415" s="71" t="s">
        <v>1374</v>
      </c>
    </row>
    <row r="1416" spans="1:9" ht="29" x14ac:dyDescent="0.35">
      <c r="A1416" s="195">
        <v>9</v>
      </c>
      <c r="B1416" s="195">
        <v>70</v>
      </c>
      <c r="C1416" s="195" t="s">
        <v>1861</v>
      </c>
      <c r="D1416" s="64">
        <v>5440</v>
      </c>
      <c r="E1416" s="195" t="s">
        <v>373</v>
      </c>
      <c r="F1416" s="71" t="s">
        <v>508</v>
      </c>
      <c r="G1416" s="71" t="s">
        <v>386</v>
      </c>
      <c r="H1416" s="71" t="s">
        <v>1657</v>
      </c>
    </row>
    <row r="1417" spans="1:9" ht="29" x14ac:dyDescent="0.35">
      <c r="A1417" s="195">
        <v>9</v>
      </c>
      <c r="B1417" s="195">
        <v>71</v>
      </c>
      <c r="C1417" s="195" t="s">
        <v>1862</v>
      </c>
      <c r="D1417" s="64">
        <v>2270</v>
      </c>
      <c r="E1417" s="195" t="s">
        <v>373</v>
      </c>
      <c r="F1417" s="71" t="s">
        <v>508</v>
      </c>
      <c r="G1417" s="71" t="s">
        <v>386</v>
      </c>
      <c r="H1417" s="71" t="s">
        <v>1663</v>
      </c>
    </row>
    <row r="1418" spans="1:9" ht="29" x14ac:dyDescent="0.35">
      <c r="A1418" s="195">
        <v>9</v>
      </c>
      <c r="B1418" s="195">
        <v>72</v>
      </c>
      <c r="C1418" s="195" t="s">
        <v>1863</v>
      </c>
      <c r="D1418" s="64">
        <v>3015</v>
      </c>
      <c r="E1418" s="195" t="s">
        <v>373</v>
      </c>
      <c r="F1418" s="71" t="s">
        <v>508</v>
      </c>
      <c r="G1418" s="71" t="s">
        <v>386</v>
      </c>
      <c r="H1418" s="71" t="s">
        <v>1667</v>
      </c>
    </row>
    <row r="1419" spans="1:9" ht="29" x14ac:dyDescent="0.35">
      <c r="A1419" s="195">
        <v>9</v>
      </c>
      <c r="B1419" s="195">
        <v>73</v>
      </c>
      <c r="C1419" s="195" t="s">
        <v>1864</v>
      </c>
      <c r="D1419" s="195">
        <v>420</v>
      </c>
      <c r="E1419" s="195" t="s">
        <v>373</v>
      </c>
      <c r="F1419" s="71" t="s">
        <v>508</v>
      </c>
      <c r="G1419" s="71" t="s">
        <v>386</v>
      </c>
      <c r="H1419" s="71" t="s">
        <v>1671</v>
      </c>
    </row>
    <row r="1420" spans="1:9" ht="29" x14ac:dyDescent="0.35">
      <c r="A1420" s="195">
        <v>10</v>
      </c>
      <c r="B1420" s="195">
        <v>1</v>
      </c>
      <c r="C1420" s="195" t="s">
        <v>1865</v>
      </c>
      <c r="D1420" s="64">
        <v>1042580</v>
      </c>
      <c r="E1420" s="195" t="s">
        <v>26</v>
      </c>
      <c r="F1420" s="71" t="s">
        <v>361</v>
      </c>
      <c r="G1420" s="71" t="s">
        <v>1866</v>
      </c>
      <c r="H1420" s="71" t="s">
        <v>363</v>
      </c>
      <c r="I1420" s="71" t="s">
        <v>1867</v>
      </c>
    </row>
    <row r="1421" spans="1:9" x14ac:dyDescent="0.35">
      <c r="A1421" s="195">
        <v>10</v>
      </c>
      <c r="B1421" s="195">
        <v>2</v>
      </c>
      <c r="C1421" s="195" t="s">
        <v>1868</v>
      </c>
      <c r="D1421" s="64">
        <v>459890</v>
      </c>
      <c r="E1421" s="195" t="s">
        <v>366</v>
      </c>
      <c r="F1421" s="71" t="s">
        <v>367</v>
      </c>
      <c r="G1421" s="71" t="s">
        <v>1866</v>
      </c>
      <c r="H1421" s="71" t="s">
        <v>363</v>
      </c>
      <c r="I1421" s="71" t="s">
        <v>1867</v>
      </c>
    </row>
    <row r="1422" spans="1:9" ht="29" x14ac:dyDescent="0.35">
      <c r="A1422" s="195">
        <v>10</v>
      </c>
      <c r="B1422" s="195">
        <v>3</v>
      </c>
      <c r="C1422" s="195" t="s">
        <v>1869</v>
      </c>
      <c r="D1422" s="64">
        <v>447740</v>
      </c>
      <c r="E1422" s="195" t="s">
        <v>366</v>
      </c>
      <c r="F1422" s="71" t="s">
        <v>367</v>
      </c>
      <c r="G1422" s="71" t="s">
        <v>1870</v>
      </c>
      <c r="H1422" s="71" t="s">
        <v>363</v>
      </c>
      <c r="I1422" s="71" t="s">
        <v>1867</v>
      </c>
    </row>
    <row r="1423" spans="1:9" ht="29" x14ac:dyDescent="0.35">
      <c r="A1423" s="195">
        <v>10</v>
      </c>
      <c r="B1423" s="195">
        <v>4</v>
      </c>
      <c r="C1423" s="195" t="s">
        <v>1871</v>
      </c>
      <c r="D1423" s="64">
        <v>47275</v>
      </c>
      <c r="E1423" s="195" t="s">
        <v>366</v>
      </c>
      <c r="F1423" s="71" t="s">
        <v>367</v>
      </c>
      <c r="G1423" s="71" t="s">
        <v>1870</v>
      </c>
      <c r="H1423" s="71" t="s">
        <v>371</v>
      </c>
      <c r="I1423" s="71" t="s">
        <v>1867</v>
      </c>
    </row>
    <row r="1424" spans="1:9" ht="29" x14ac:dyDescent="0.35">
      <c r="A1424" s="195">
        <v>10</v>
      </c>
      <c r="B1424" s="195">
        <v>5</v>
      </c>
      <c r="C1424" s="195" t="s">
        <v>1872</v>
      </c>
      <c r="D1424" s="64">
        <v>19620</v>
      </c>
      <c r="E1424" s="195" t="s">
        <v>373</v>
      </c>
      <c r="F1424" s="71" t="s">
        <v>367</v>
      </c>
      <c r="G1424" s="71" t="s">
        <v>1870</v>
      </c>
      <c r="H1424" s="71" t="s">
        <v>371</v>
      </c>
      <c r="I1424" s="71" t="s">
        <v>1873</v>
      </c>
    </row>
    <row r="1425" spans="1:9" ht="43.5" x14ac:dyDescent="0.35">
      <c r="A1425" s="195">
        <v>10</v>
      </c>
      <c r="B1425" s="195">
        <v>6</v>
      </c>
      <c r="C1425" s="195" t="s">
        <v>1874</v>
      </c>
      <c r="D1425" s="64">
        <v>1550</v>
      </c>
      <c r="E1425" s="195" t="s">
        <v>373</v>
      </c>
      <c r="F1425" s="71" t="s">
        <v>367</v>
      </c>
      <c r="G1425" s="71" t="s">
        <v>1870</v>
      </c>
      <c r="H1425" s="71" t="s">
        <v>371</v>
      </c>
      <c r="I1425" s="71" t="s">
        <v>1875</v>
      </c>
    </row>
    <row r="1426" spans="1:9" ht="29" x14ac:dyDescent="0.35">
      <c r="A1426" s="195">
        <v>10</v>
      </c>
      <c r="B1426" s="195">
        <v>7</v>
      </c>
      <c r="C1426" s="195" t="s">
        <v>1876</v>
      </c>
      <c r="D1426" s="64">
        <v>26105</v>
      </c>
      <c r="E1426" s="195" t="s">
        <v>373</v>
      </c>
      <c r="F1426" s="71" t="s">
        <v>367</v>
      </c>
      <c r="G1426" s="71" t="s">
        <v>1870</v>
      </c>
      <c r="H1426" s="71" t="s">
        <v>371</v>
      </c>
      <c r="I1426" s="71" t="s">
        <v>1877</v>
      </c>
    </row>
    <row r="1427" spans="1:9" ht="43.5" x14ac:dyDescent="0.35">
      <c r="A1427" s="195">
        <v>10</v>
      </c>
      <c r="B1427" s="195">
        <v>8</v>
      </c>
      <c r="C1427" s="195" t="s">
        <v>1878</v>
      </c>
      <c r="D1427" s="64">
        <v>49385</v>
      </c>
      <c r="E1427" s="195" t="s">
        <v>366</v>
      </c>
      <c r="F1427" s="71" t="s">
        <v>367</v>
      </c>
      <c r="G1427" s="71" t="s">
        <v>1870</v>
      </c>
      <c r="H1427" s="71" t="s">
        <v>388</v>
      </c>
      <c r="I1427" s="71" t="s">
        <v>1867</v>
      </c>
    </row>
    <row r="1428" spans="1:9" ht="43.5" x14ac:dyDescent="0.35">
      <c r="A1428" s="195">
        <v>10</v>
      </c>
      <c r="B1428" s="195">
        <v>9</v>
      </c>
      <c r="C1428" s="195" t="s">
        <v>1879</v>
      </c>
      <c r="D1428" s="64">
        <v>27315</v>
      </c>
      <c r="E1428" s="195" t="s">
        <v>373</v>
      </c>
      <c r="F1428" s="71" t="s">
        <v>367</v>
      </c>
      <c r="G1428" s="71" t="s">
        <v>1870</v>
      </c>
      <c r="H1428" s="71" t="s">
        <v>388</v>
      </c>
      <c r="I1428" s="71" t="s">
        <v>1873</v>
      </c>
    </row>
    <row r="1429" spans="1:9" ht="43.5" x14ac:dyDescent="0.35">
      <c r="A1429" s="195">
        <v>10</v>
      </c>
      <c r="B1429" s="195">
        <v>10</v>
      </c>
      <c r="C1429" s="195" t="s">
        <v>1880</v>
      </c>
      <c r="D1429" s="64">
        <v>2725</v>
      </c>
      <c r="E1429" s="195" t="s">
        <v>373</v>
      </c>
      <c r="F1429" s="71" t="s">
        <v>367</v>
      </c>
      <c r="G1429" s="71" t="s">
        <v>1870</v>
      </c>
      <c r="H1429" s="71" t="s">
        <v>388</v>
      </c>
      <c r="I1429" s="71" t="s">
        <v>1875</v>
      </c>
    </row>
    <row r="1430" spans="1:9" ht="43.5" x14ac:dyDescent="0.35">
      <c r="A1430" s="195">
        <v>10</v>
      </c>
      <c r="B1430" s="195">
        <v>11</v>
      </c>
      <c r="C1430" s="195" t="s">
        <v>1881</v>
      </c>
      <c r="D1430" s="64">
        <v>19350</v>
      </c>
      <c r="E1430" s="195" t="s">
        <v>373</v>
      </c>
      <c r="F1430" s="71" t="s">
        <v>367</v>
      </c>
      <c r="G1430" s="71" t="s">
        <v>1870</v>
      </c>
      <c r="H1430" s="71" t="s">
        <v>388</v>
      </c>
      <c r="I1430" s="71" t="s">
        <v>1877</v>
      </c>
    </row>
    <row r="1431" spans="1:9" ht="43.5" x14ac:dyDescent="0.35">
      <c r="A1431" s="195">
        <v>10</v>
      </c>
      <c r="B1431" s="195">
        <v>12</v>
      </c>
      <c r="C1431" s="195" t="s">
        <v>1882</v>
      </c>
      <c r="D1431" s="64">
        <v>68465</v>
      </c>
      <c r="E1431" s="195" t="s">
        <v>366</v>
      </c>
      <c r="F1431" s="71" t="s">
        <v>367</v>
      </c>
      <c r="G1431" s="71" t="s">
        <v>1870</v>
      </c>
      <c r="H1431" s="71" t="s">
        <v>397</v>
      </c>
      <c r="I1431" s="71" t="s">
        <v>1867</v>
      </c>
    </row>
    <row r="1432" spans="1:9" ht="43.5" x14ac:dyDescent="0.35">
      <c r="A1432" s="195">
        <v>10</v>
      </c>
      <c r="B1432" s="195">
        <v>13</v>
      </c>
      <c r="C1432" s="195" t="s">
        <v>1883</v>
      </c>
      <c r="D1432" s="64">
        <v>42620</v>
      </c>
      <c r="E1432" s="195" t="s">
        <v>373</v>
      </c>
      <c r="F1432" s="71" t="s">
        <v>367</v>
      </c>
      <c r="G1432" s="71" t="s">
        <v>1870</v>
      </c>
      <c r="H1432" s="71" t="s">
        <v>397</v>
      </c>
      <c r="I1432" s="71" t="s">
        <v>1873</v>
      </c>
    </row>
    <row r="1433" spans="1:9" ht="43.5" x14ac:dyDescent="0.35">
      <c r="A1433" s="195">
        <v>10</v>
      </c>
      <c r="B1433" s="195">
        <v>14</v>
      </c>
      <c r="C1433" s="195" t="s">
        <v>1884</v>
      </c>
      <c r="D1433" s="64">
        <v>4395</v>
      </c>
      <c r="E1433" s="195" t="s">
        <v>373</v>
      </c>
      <c r="F1433" s="71" t="s">
        <v>367</v>
      </c>
      <c r="G1433" s="71" t="s">
        <v>1870</v>
      </c>
      <c r="H1433" s="71" t="s">
        <v>397</v>
      </c>
      <c r="I1433" s="71" t="s">
        <v>1875</v>
      </c>
    </row>
    <row r="1434" spans="1:9" ht="43.5" x14ac:dyDescent="0.35">
      <c r="A1434" s="195">
        <v>10</v>
      </c>
      <c r="B1434" s="195">
        <v>15</v>
      </c>
      <c r="C1434" s="195" t="s">
        <v>1885</v>
      </c>
      <c r="D1434" s="64">
        <v>21450</v>
      </c>
      <c r="E1434" s="195" t="s">
        <v>373</v>
      </c>
      <c r="F1434" s="71" t="s">
        <v>367</v>
      </c>
      <c r="G1434" s="71" t="s">
        <v>1870</v>
      </c>
      <c r="H1434" s="71" t="s">
        <v>397</v>
      </c>
      <c r="I1434" s="71" t="s">
        <v>1877</v>
      </c>
    </row>
    <row r="1435" spans="1:9" ht="43.5" x14ac:dyDescent="0.35">
      <c r="A1435" s="195">
        <v>10</v>
      </c>
      <c r="B1435" s="195">
        <v>16</v>
      </c>
      <c r="C1435" s="195" t="s">
        <v>1886</v>
      </c>
      <c r="D1435" s="64">
        <v>43330</v>
      </c>
      <c r="E1435" s="195" t="s">
        <v>366</v>
      </c>
      <c r="F1435" s="71" t="s">
        <v>367</v>
      </c>
      <c r="G1435" s="71" t="s">
        <v>1870</v>
      </c>
      <c r="H1435" s="71" t="s">
        <v>406</v>
      </c>
      <c r="I1435" s="71" t="s">
        <v>1867</v>
      </c>
    </row>
    <row r="1436" spans="1:9" ht="43.5" x14ac:dyDescent="0.35">
      <c r="A1436" s="195">
        <v>10</v>
      </c>
      <c r="B1436" s="195">
        <v>17</v>
      </c>
      <c r="C1436" s="195" t="s">
        <v>1887</v>
      </c>
      <c r="D1436" s="64">
        <v>26460</v>
      </c>
      <c r="E1436" s="195" t="s">
        <v>373</v>
      </c>
      <c r="F1436" s="71" t="s">
        <v>367</v>
      </c>
      <c r="G1436" s="71" t="s">
        <v>1870</v>
      </c>
      <c r="H1436" s="71" t="s">
        <v>406</v>
      </c>
      <c r="I1436" s="71" t="s">
        <v>1873</v>
      </c>
    </row>
    <row r="1437" spans="1:9" ht="43.5" x14ac:dyDescent="0.35">
      <c r="A1437" s="195">
        <v>10</v>
      </c>
      <c r="B1437" s="195">
        <v>18</v>
      </c>
      <c r="C1437" s="195" t="s">
        <v>1888</v>
      </c>
      <c r="D1437" s="64">
        <v>2810</v>
      </c>
      <c r="E1437" s="195" t="s">
        <v>373</v>
      </c>
      <c r="F1437" s="71" t="s">
        <v>367</v>
      </c>
      <c r="G1437" s="71" t="s">
        <v>1870</v>
      </c>
      <c r="H1437" s="71" t="s">
        <v>406</v>
      </c>
      <c r="I1437" s="71" t="s">
        <v>1875</v>
      </c>
    </row>
    <row r="1438" spans="1:9" ht="43.5" x14ac:dyDescent="0.35">
      <c r="A1438" s="195">
        <v>10</v>
      </c>
      <c r="B1438" s="195">
        <v>19</v>
      </c>
      <c r="C1438" s="195" t="s">
        <v>1889</v>
      </c>
      <c r="D1438" s="64">
        <v>14065</v>
      </c>
      <c r="E1438" s="195" t="s">
        <v>373</v>
      </c>
      <c r="F1438" s="71" t="s">
        <v>367</v>
      </c>
      <c r="G1438" s="71" t="s">
        <v>1870</v>
      </c>
      <c r="H1438" s="71" t="s">
        <v>406</v>
      </c>
      <c r="I1438" s="71" t="s">
        <v>1877</v>
      </c>
    </row>
    <row r="1439" spans="1:9" ht="29" x14ac:dyDescent="0.35">
      <c r="A1439" s="195">
        <v>10</v>
      </c>
      <c r="B1439" s="195">
        <v>20</v>
      </c>
      <c r="C1439" s="195" t="s">
        <v>1890</v>
      </c>
      <c r="D1439" s="64">
        <v>239280</v>
      </c>
      <c r="E1439" s="195" t="s">
        <v>366</v>
      </c>
      <c r="F1439" s="71" t="s">
        <v>367</v>
      </c>
      <c r="G1439" s="71" t="s">
        <v>1870</v>
      </c>
      <c r="H1439" s="71" t="s">
        <v>415</v>
      </c>
      <c r="I1439" s="71" t="s">
        <v>1867</v>
      </c>
    </row>
    <row r="1440" spans="1:9" ht="29" x14ac:dyDescent="0.35">
      <c r="A1440" s="195">
        <v>10</v>
      </c>
      <c r="B1440" s="195">
        <v>21</v>
      </c>
      <c r="C1440" s="195" t="s">
        <v>1891</v>
      </c>
      <c r="D1440" s="64">
        <v>156680</v>
      </c>
      <c r="E1440" s="195" t="s">
        <v>373</v>
      </c>
      <c r="F1440" s="71" t="s">
        <v>367</v>
      </c>
      <c r="G1440" s="71" t="s">
        <v>1870</v>
      </c>
      <c r="H1440" s="71" t="s">
        <v>415</v>
      </c>
      <c r="I1440" s="71" t="s">
        <v>1873</v>
      </c>
    </row>
    <row r="1441" spans="1:9" ht="43.5" x14ac:dyDescent="0.35">
      <c r="A1441" s="195">
        <v>10</v>
      </c>
      <c r="B1441" s="195">
        <v>22</v>
      </c>
      <c r="C1441" s="195" t="s">
        <v>1892</v>
      </c>
      <c r="D1441" s="64">
        <v>8060</v>
      </c>
      <c r="E1441" s="195" t="s">
        <v>373</v>
      </c>
      <c r="F1441" s="71" t="s">
        <v>367</v>
      </c>
      <c r="G1441" s="71" t="s">
        <v>1870</v>
      </c>
      <c r="H1441" s="71" t="s">
        <v>415</v>
      </c>
      <c r="I1441" s="71" t="s">
        <v>1875</v>
      </c>
    </row>
    <row r="1442" spans="1:9" ht="29" x14ac:dyDescent="0.35">
      <c r="A1442" s="195">
        <v>10</v>
      </c>
      <c r="B1442" s="195">
        <v>23</v>
      </c>
      <c r="C1442" s="195" t="s">
        <v>1893</v>
      </c>
      <c r="D1442" s="64">
        <v>74540</v>
      </c>
      <c r="E1442" s="195" t="s">
        <v>373</v>
      </c>
      <c r="F1442" s="71" t="s">
        <v>367</v>
      </c>
      <c r="G1442" s="71" t="s">
        <v>1870</v>
      </c>
      <c r="H1442" s="71" t="s">
        <v>415</v>
      </c>
      <c r="I1442" s="71" t="s">
        <v>1877</v>
      </c>
    </row>
    <row r="1443" spans="1:9" ht="29" x14ac:dyDescent="0.35">
      <c r="A1443" s="195">
        <v>10</v>
      </c>
      <c r="B1443" s="195">
        <v>24</v>
      </c>
      <c r="C1443" s="195" t="s">
        <v>1894</v>
      </c>
      <c r="D1443" s="64">
        <v>9625</v>
      </c>
      <c r="E1443" s="195" t="s">
        <v>366</v>
      </c>
      <c r="F1443" s="71" t="s">
        <v>367</v>
      </c>
      <c r="G1443" s="71" t="s">
        <v>1895</v>
      </c>
      <c r="H1443" s="71" t="s">
        <v>363</v>
      </c>
      <c r="I1443" s="71" t="s">
        <v>1867</v>
      </c>
    </row>
    <row r="1444" spans="1:9" ht="29" x14ac:dyDescent="0.35">
      <c r="A1444" s="195">
        <v>10</v>
      </c>
      <c r="B1444" s="195">
        <v>25</v>
      </c>
      <c r="C1444" s="195" t="s">
        <v>1896</v>
      </c>
      <c r="D1444" s="64">
        <v>910</v>
      </c>
      <c r="E1444" s="195" t="s">
        <v>366</v>
      </c>
      <c r="F1444" s="71" t="s">
        <v>367</v>
      </c>
      <c r="G1444" s="71" t="s">
        <v>1895</v>
      </c>
      <c r="H1444" s="71" t="s">
        <v>371</v>
      </c>
      <c r="I1444" s="71" t="s">
        <v>1867</v>
      </c>
    </row>
    <row r="1445" spans="1:9" ht="29" x14ac:dyDescent="0.35">
      <c r="A1445" s="195">
        <v>10</v>
      </c>
      <c r="B1445" s="195">
        <v>26</v>
      </c>
      <c r="C1445" s="195" t="s">
        <v>1897</v>
      </c>
      <c r="D1445" s="64">
        <v>610</v>
      </c>
      <c r="E1445" s="195" t="s">
        <v>373</v>
      </c>
      <c r="F1445" s="71" t="s">
        <v>367</v>
      </c>
      <c r="G1445" s="71" t="s">
        <v>1895</v>
      </c>
      <c r="H1445" s="71" t="s">
        <v>371</v>
      </c>
      <c r="I1445" s="71" t="s">
        <v>1873</v>
      </c>
    </row>
    <row r="1446" spans="1:9" ht="43.5" x14ac:dyDescent="0.35">
      <c r="A1446" s="195">
        <v>10</v>
      </c>
      <c r="B1446" s="195">
        <v>27</v>
      </c>
      <c r="C1446" s="195" t="s">
        <v>1898</v>
      </c>
      <c r="D1446" s="195">
        <v>295</v>
      </c>
      <c r="E1446" s="195" t="s">
        <v>373</v>
      </c>
      <c r="F1446" s="71" t="s">
        <v>367</v>
      </c>
      <c r="G1446" s="71" t="s">
        <v>1895</v>
      </c>
      <c r="H1446" s="71" t="s">
        <v>371</v>
      </c>
      <c r="I1446" s="71" t="s">
        <v>1875</v>
      </c>
    </row>
    <row r="1447" spans="1:9" ht="29" x14ac:dyDescent="0.35">
      <c r="A1447" s="195">
        <v>10</v>
      </c>
      <c r="B1447" s="195">
        <v>28</v>
      </c>
      <c r="C1447" s="195" t="s">
        <v>1899</v>
      </c>
      <c r="D1447" s="195">
        <v>4</v>
      </c>
      <c r="E1447" s="195" t="s">
        <v>373</v>
      </c>
      <c r="F1447" s="71" t="s">
        <v>367</v>
      </c>
      <c r="G1447" s="71" t="s">
        <v>1895</v>
      </c>
      <c r="H1447" s="71" t="s">
        <v>371</v>
      </c>
      <c r="I1447" s="71" t="s">
        <v>1877</v>
      </c>
    </row>
    <row r="1448" spans="1:9" ht="43.5" x14ac:dyDescent="0.35">
      <c r="A1448" s="195">
        <v>10</v>
      </c>
      <c r="B1448" s="195">
        <v>29</v>
      </c>
      <c r="C1448" s="195" t="s">
        <v>1900</v>
      </c>
      <c r="D1448" s="64">
        <v>1835</v>
      </c>
      <c r="E1448" s="195" t="s">
        <v>366</v>
      </c>
      <c r="F1448" s="71" t="s">
        <v>367</v>
      </c>
      <c r="G1448" s="71" t="s">
        <v>1895</v>
      </c>
      <c r="H1448" s="71" t="s">
        <v>388</v>
      </c>
      <c r="I1448" s="71" t="s">
        <v>1867</v>
      </c>
    </row>
    <row r="1449" spans="1:9" ht="43.5" x14ac:dyDescent="0.35">
      <c r="A1449" s="195">
        <v>10</v>
      </c>
      <c r="B1449" s="195">
        <v>30</v>
      </c>
      <c r="C1449" s="195" t="s">
        <v>1901</v>
      </c>
      <c r="D1449" s="64">
        <v>1180</v>
      </c>
      <c r="E1449" s="195" t="s">
        <v>373</v>
      </c>
      <c r="F1449" s="71" t="s">
        <v>367</v>
      </c>
      <c r="G1449" s="71" t="s">
        <v>1895</v>
      </c>
      <c r="H1449" s="71" t="s">
        <v>388</v>
      </c>
      <c r="I1449" s="71" t="s">
        <v>1873</v>
      </c>
    </row>
    <row r="1450" spans="1:9" ht="43.5" x14ac:dyDescent="0.35">
      <c r="A1450" s="195">
        <v>10</v>
      </c>
      <c r="B1450" s="195">
        <v>31</v>
      </c>
      <c r="C1450" s="195" t="s">
        <v>1902</v>
      </c>
      <c r="D1450" s="195">
        <v>645</v>
      </c>
      <c r="E1450" s="195" t="s">
        <v>373</v>
      </c>
      <c r="F1450" s="71" t="s">
        <v>367</v>
      </c>
      <c r="G1450" s="71" t="s">
        <v>1895</v>
      </c>
      <c r="H1450" s="71" t="s">
        <v>388</v>
      </c>
      <c r="I1450" s="71" t="s">
        <v>1875</v>
      </c>
    </row>
    <row r="1451" spans="1:9" ht="43.5" x14ac:dyDescent="0.35">
      <c r="A1451" s="195">
        <v>10</v>
      </c>
      <c r="B1451" s="195">
        <v>32</v>
      </c>
      <c r="C1451" s="195" t="s">
        <v>1903</v>
      </c>
      <c r="D1451" s="195">
        <v>10</v>
      </c>
      <c r="E1451" s="195" t="s">
        <v>373</v>
      </c>
      <c r="F1451" s="71" t="s">
        <v>367</v>
      </c>
      <c r="G1451" s="71" t="s">
        <v>1895</v>
      </c>
      <c r="H1451" s="71" t="s">
        <v>388</v>
      </c>
      <c r="I1451" s="71" t="s">
        <v>1877</v>
      </c>
    </row>
    <row r="1452" spans="1:9" ht="43.5" x14ac:dyDescent="0.35">
      <c r="A1452" s="195">
        <v>10</v>
      </c>
      <c r="B1452" s="195">
        <v>33</v>
      </c>
      <c r="C1452" s="195" t="s">
        <v>1904</v>
      </c>
      <c r="D1452" s="64">
        <v>2285</v>
      </c>
      <c r="E1452" s="195" t="s">
        <v>366</v>
      </c>
      <c r="F1452" s="71" t="s">
        <v>367</v>
      </c>
      <c r="G1452" s="71" t="s">
        <v>1895</v>
      </c>
      <c r="H1452" s="71" t="s">
        <v>397</v>
      </c>
      <c r="I1452" s="71" t="s">
        <v>1867</v>
      </c>
    </row>
    <row r="1453" spans="1:9" ht="43.5" x14ac:dyDescent="0.35">
      <c r="A1453" s="195">
        <v>10</v>
      </c>
      <c r="B1453" s="195">
        <v>34</v>
      </c>
      <c r="C1453" s="195" t="s">
        <v>1905</v>
      </c>
      <c r="D1453" s="64">
        <v>1365</v>
      </c>
      <c r="E1453" s="195" t="s">
        <v>373</v>
      </c>
      <c r="F1453" s="71" t="s">
        <v>367</v>
      </c>
      <c r="G1453" s="71" t="s">
        <v>1895</v>
      </c>
      <c r="H1453" s="71" t="s">
        <v>397</v>
      </c>
      <c r="I1453" s="71" t="s">
        <v>1873</v>
      </c>
    </row>
    <row r="1454" spans="1:9" ht="43.5" x14ac:dyDescent="0.35">
      <c r="A1454" s="195">
        <v>10</v>
      </c>
      <c r="B1454" s="195">
        <v>35</v>
      </c>
      <c r="C1454" s="195" t="s">
        <v>1906</v>
      </c>
      <c r="D1454" s="64">
        <v>905</v>
      </c>
      <c r="E1454" s="195" t="s">
        <v>373</v>
      </c>
      <c r="F1454" s="71" t="s">
        <v>367</v>
      </c>
      <c r="G1454" s="71" t="s">
        <v>1895</v>
      </c>
      <c r="H1454" s="71" t="s">
        <v>397</v>
      </c>
      <c r="I1454" s="71" t="s">
        <v>1875</v>
      </c>
    </row>
    <row r="1455" spans="1:9" ht="43.5" x14ac:dyDescent="0.35">
      <c r="A1455" s="195">
        <v>10</v>
      </c>
      <c r="B1455" s="195">
        <v>36</v>
      </c>
      <c r="C1455" s="195" t="s">
        <v>1907</v>
      </c>
      <c r="D1455" s="195">
        <v>15</v>
      </c>
      <c r="E1455" s="195" t="s">
        <v>373</v>
      </c>
      <c r="F1455" s="71" t="s">
        <v>367</v>
      </c>
      <c r="G1455" s="71" t="s">
        <v>1895</v>
      </c>
      <c r="H1455" s="71" t="s">
        <v>397</v>
      </c>
      <c r="I1455" s="71" t="s">
        <v>1877</v>
      </c>
    </row>
    <row r="1456" spans="1:9" ht="43.5" x14ac:dyDescent="0.35">
      <c r="A1456" s="195">
        <v>10</v>
      </c>
      <c r="B1456" s="195">
        <v>37</v>
      </c>
      <c r="C1456" s="195" t="s">
        <v>1908</v>
      </c>
      <c r="D1456" s="64">
        <v>1300</v>
      </c>
      <c r="E1456" s="195" t="s">
        <v>366</v>
      </c>
      <c r="F1456" s="71" t="s">
        <v>367</v>
      </c>
      <c r="G1456" s="71" t="s">
        <v>1895</v>
      </c>
      <c r="H1456" s="71" t="s">
        <v>406</v>
      </c>
      <c r="I1456" s="71" t="s">
        <v>1867</v>
      </c>
    </row>
    <row r="1457" spans="1:9" ht="43.5" x14ac:dyDescent="0.35">
      <c r="A1457" s="195">
        <v>10</v>
      </c>
      <c r="B1457" s="195">
        <v>38</v>
      </c>
      <c r="C1457" s="195" t="s">
        <v>1909</v>
      </c>
      <c r="D1457" s="64">
        <v>595</v>
      </c>
      <c r="E1457" s="195" t="s">
        <v>373</v>
      </c>
      <c r="F1457" s="71" t="s">
        <v>367</v>
      </c>
      <c r="G1457" s="71" t="s">
        <v>1895</v>
      </c>
      <c r="H1457" s="71" t="s">
        <v>406</v>
      </c>
      <c r="I1457" s="71" t="s">
        <v>1873</v>
      </c>
    </row>
    <row r="1458" spans="1:9" ht="43.5" x14ac:dyDescent="0.35">
      <c r="A1458" s="195">
        <v>10</v>
      </c>
      <c r="B1458" s="195">
        <v>39</v>
      </c>
      <c r="C1458" s="195" t="s">
        <v>1910</v>
      </c>
      <c r="D1458" s="64">
        <v>705</v>
      </c>
      <c r="E1458" s="195" t="s">
        <v>373</v>
      </c>
      <c r="F1458" s="71" t="s">
        <v>367</v>
      </c>
      <c r="G1458" s="71" t="s">
        <v>1895</v>
      </c>
      <c r="H1458" s="71" t="s">
        <v>406</v>
      </c>
      <c r="I1458" s="71" t="s">
        <v>1875</v>
      </c>
    </row>
    <row r="1459" spans="1:9" ht="43.5" x14ac:dyDescent="0.35">
      <c r="A1459" s="195">
        <v>10</v>
      </c>
      <c r="B1459" s="195">
        <v>40</v>
      </c>
      <c r="C1459" s="195" t="s">
        <v>1911</v>
      </c>
      <c r="D1459" s="195">
        <v>0</v>
      </c>
      <c r="E1459" s="195" t="s">
        <v>373</v>
      </c>
      <c r="F1459" s="71" t="s">
        <v>367</v>
      </c>
      <c r="G1459" s="71" t="s">
        <v>1895</v>
      </c>
      <c r="H1459" s="71" t="s">
        <v>406</v>
      </c>
      <c r="I1459" s="71" t="s">
        <v>1877</v>
      </c>
    </row>
    <row r="1460" spans="1:9" ht="29" x14ac:dyDescent="0.35">
      <c r="A1460" s="195">
        <v>10</v>
      </c>
      <c r="B1460" s="195">
        <v>41</v>
      </c>
      <c r="C1460" s="195" t="s">
        <v>1912</v>
      </c>
      <c r="D1460" s="64">
        <v>3295</v>
      </c>
      <c r="E1460" s="195" t="s">
        <v>366</v>
      </c>
      <c r="F1460" s="71" t="s">
        <v>367</v>
      </c>
      <c r="G1460" s="71" t="s">
        <v>1895</v>
      </c>
      <c r="H1460" s="71" t="s">
        <v>415</v>
      </c>
      <c r="I1460" s="71" t="s">
        <v>1867</v>
      </c>
    </row>
    <row r="1461" spans="1:9" ht="29" x14ac:dyDescent="0.35">
      <c r="A1461" s="195">
        <v>10</v>
      </c>
      <c r="B1461" s="195">
        <v>42</v>
      </c>
      <c r="C1461" s="195" t="s">
        <v>1913</v>
      </c>
      <c r="D1461" s="64">
        <v>1860</v>
      </c>
      <c r="E1461" s="195" t="s">
        <v>373</v>
      </c>
      <c r="F1461" s="71" t="s">
        <v>367</v>
      </c>
      <c r="G1461" s="71" t="s">
        <v>1895</v>
      </c>
      <c r="H1461" s="71" t="s">
        <v>415</v>
      </c>
      <c r="I1461" s="71" t="s">
        <v>1873</v>
      </c>
    </row>
    <row r="1462" spans="1:9" ht="43.5" x14ac:dyDescent="0.35">
      <c r="A1462" s="195">
        <v>10</v>
      </c>
      <c r="B1462" s="195">
        <v>43</v>
      </c>
      <c r="C1462" s="195" t="s">
        <v>1914</v>
      </c>
      <c r="D1462" s="64">
        <v>1410</v>
      </c>
      <c r="E1462" s="195" t="s">
        <v>373</v>
      </c>
      <c r="F1462" s="71" t="s">
        <v>367</v>
      </c>
      <c r="G1462" s="71" t="s">
        <v>1895</v>
      </c>
      <c r="H1462" s="71" t="s">
        <v>415</v>
      </c>
      <c r="I1462" s="71" t="s">
        <v>1875</v>
      </c>
    </row>
    <row r="1463" spans="1:9" ht="29" x14ac:dyDescent="0.35">
      <c r="A1463" s="195">
        <v>10</v>
      </c>
      <c r="B1463" s="195">
        <v>44</v>
      </c>
      <c r="C1463" s="195" t="s">
        <v>1915</v>
      </c>
      <c r="D1463" s="195">
        <v>25</v>
      </c>
      <c r="E1463" s="195" t="s">
        <v>373</v>
      </c>
      <c r="F1463" s="71" t="s">
        <v>367</v>
      </c>
      <c r="G1463" s="71" t="s">
        <v>1895</v>
      </c>
      <c r="H1463" s="71" t="s">
        <v>415</v>
      </c>
      <c r="I1463" s="71" t="s">
        <v>1877</v>
      </c>
    </row>
    <row r="1464" spans="1:9" x14ac:dyDescent="0.35">
      <c r="A1464" s="195">
        <v>10</v>
      </c>
      <c r="B1464" s="195">
        <v>45</v>
      </c>
      <c r="C1464" s="195" t="s">
        <v>1916</v>
      </c>
      <c r="D1464" s="64">
        <v>2525</v>
      </c>
      <c r="E1464" s="195" t="s">
        <v>366</v>
      </c>
      <c r="F1464" s="71" t="s">
        <v>367</v>
      </c>
      <c r="G1464" s="71" t="s">
        <v>1917</v>
      </c>
      <c r="H1464" s="71" t="s">
        <v>363</v>
      </c>
      <c r="I1464" s="71" t="s">
        <v>1867</v>
      </c>
    </row>
    <row r="1465" spans="1:9" ht="29" x14ac:dyDescent="0.35">
      <c r="A1465" s="195">
        <v>10</v>
      </c>
      <c r="B1465" s="195">
        <v>46</v>
      </c>
      <c r="C1465" s="195" t="s">
        <v>1918</v>
      </c>
      <c r="D1465" s="195">
        <v>255</v>
      </c>
      <c r="E1465" s="195" t="s">
        <v>366</v>
      </c>
      <c r="F1465" s="71" t="s">
        <v>367</v>
      </c>
      <c r="G1465" s="71" t="s">
        <v>1917</v>
      </c>
      <c r="H1465" s="71" t="s">
        <v>371</v>
      </c>
      <c r="I1465" s="71" t="s">
        <v>1867</v>
      </c>
    </row>
    <row r="1466" spans="1:9" ht="29" x14ac:dyDescent="0.35">
      <c r="A1466" s="195">
        <v>10</v>
      </c>
      <c r="B1466" s="195">
        <v>47</v>
      </c>
      <c r="C1466" s="195" t="s">
        <v>1919</v>
      </c>
      <c r="D1466" s="195">
        <v>190</v>
      </c>
      <c r="E1466" s="195" t="s">
        <v>373</v>
      </c>
      <c r="F1466" s="71" t="s">
        <v>367</v>
      </c>
      <c r="G1466" s="71" t="s">
        <v>1917</v>
      </c>
      <c r="H1466" s="71" t="s">
        <v>371</v>
      </c>
      <c r="I1466" s="71" t="s">
        <v>1873</v>
      </c>
    </row>
    <row r="1467" spans="1:9" ht="43.5" x14ac:dyDescent="0.35">
      <c r="A1467" s="195">
        <v>10</v>
      </c>
      <c r="B1467" s="195">
        <v>48</v>
      </c>
      <c r="C1467" s="195" t="s">
        <v>1920</v>
      </c>
      <c r="D1467" s="195">
        <v>65</v>
      </c>
      <c r="E1467" s="195" t="s">
        <v>373</v>
      </c>
      <c r="F1467" s="71" t="s">
        <v>367</v>
      </c>
      <c r="G1467" s="71" t="s">
        <v>1917</v>
      </c>
      <c r="H1467" s="71" t="s">
        <v>371</v>
      </c>
      <c r="I1467" s="71" t="s">
        <v>1875</v>
      </c>
    </row>
    <row r="1468" spans="1:9" ht="29" x14ac:dyDescent="0.35">
      <c r="A1468" s="195">
        <v>10</v>
      </c>
      <c r="B1468" s="195">
        <v>49</v>
      </c>
      <c r="C1468" s="195" t="s">
        <v>1921</v>
      </c>
      <c r="D1468" s="195">
        <v>0</v>
      </c>
      <c r="E1468" s="195" t="s">
        <v>373</v>
      </c>
      <c r="F1468" s="71" t="s">
        <v>367</v>
      </c>
      <c r="G1468" s="71" t="s">
        <v>1917</v>
      </c>
      <c r="H1468" s="71" t="s">
        <v>371</v>
      </c>
      <c r="I1468" s="71" t="s">
        <v>1877</v>
      </c>
    </row>
    <row r="1469" spans="1:9" ht="43.5" x14ac:dyDescent="0.35">
      <c r="A1469" s="195">
        <v>10</v>
      </c>
      <c r="B1469" s="195">
        <v>50</v>
      </c>
      <c r="C1469" s="195" t="s">
        <v>1922</v>
      </c>
      <c r="D1469" s="195">
        <v>475</v>
      </c>
      <c r="E1469" s="195" t="s">
        <v>366</v>
      </c>
      <c r="F1469" s="71" t="s">
        <v>367</v>
      </c>
      <c r="G1469" s="71" t="s">
        <v>1917</v>
      </c>
      <c r="H1469" s="71" t="s">
        <v>388</v>
      </c>
      <c r="I1469" s="71" t="s">
        <v>1867</v>
      </c>
    </row>
    <row r="1470" spans="1:9" ht="43.5" x14ac:dyDescent="0.35">
      <c r="A1470" s="195">
        <v>10</v>
      </c>
      <c r="B1470" s="195">
        <v>51</v>
      </c>
      <c r="C1470" s="195" t="s">
        <v>1923</v>
      </c>
      <c r="D1470" s="195">
        <v>370</v>
      </c>
      <c r="E1470" s="195" t="s">
        <v>373</v>
      </c>
      <c r="F1470" s="71" t="s">
        <v>367</v>
      </c>
      <c r="G1470" s="71" t="s">
        <v>1917</v>
      </c>
      <c r="H1470" s="71" t="s">
        <v>388</v>
      </c>
      <c r="I1470" s="71" t="s">
        <v>1873</v>
      </c>
    </row>
    <row r="1471" spans="1:9" ht="43.5" x14ac:dyDescent="0.35">
      <c r="A1471" s="195">
        <v>10</v>
      </c>
      <c r="B1471" s="195">
        <v>52</v>
      </c>
      <c r="C1471" s="195" t="s">
        <v>1924</v>
      </c>
      <c r="D1471" s="195">
        <v>100</v>
      </c>
      <c r="E1471" s="195" t="s">
        <v>373</v>
      </c>
      <c r="F1471" s="71" t="s">
        <v>367</v>
      </c>
      <c r="G1471" s="71" t="s">
        <v>1917</v>
      </c>
      <c r="H1471" s="71" t="s">
        <v>388</v>
      </c>
      <c r="I1471" s="71" t="s">
        <v>1875</v>
      </c>
    </row>
    <row r="1472" spans="1:9" ht="43.5" x14ac:dyDescent="0.35">
      <c r="A1472" s="195">
        <v>10</v>
      </c>
      <c r="B1472" s="195">
        <v>53</v>
      </c>
      <c r="C1472" s="195" t="s">
        <v>1925</v>
      </c>
      <c r="D1472" s="195">
        <v>4</v>
      </c>
      <c r="E1472" s="195" t="s">
        <v>373</v>
      </c>
      <c r="F1472" s="71" t="s">
        <v>367</v>
      </c>
      <c r="G1472" s="71" t="s">
        <v>1917</v>
      </c>
      <c r="H1472" s="71" t="s">
        <v>388</v>
      </c>
      <c r="I1472" s="71" t="s">
        <v>1877</v>
      </c>
    </row>
    <row r="1473" spans="1:9" ht="43.5" x14ac:dyDescent="0.35">
      <c r="A1473" s="195">
        <v>10</v>
      </c>
      <c r="B1473" s="195">
        <v>54</v>
      </c>
      <c r="C1473" s="195" t="s">
        <v>1926</v>
      </c>
      <c r="D1473" s="195">
        <v>475</v>
      </c>
      <c r="E1473" s="195" t="s">
        <v>366</v>
      </c>
      <c r="F1473" s="71" t="s">
        <v>367</v>
      </c>
      <c r="G1473" s="71" t="s">
        <v>1917</v>
      </c>
      <c r="H1473" s="71" t="s">
        <v>397</v>
      </c>
      <c r="I1473" s="71" t="s">
        <v>1867</v>
      </c>
    </row>
    <row r="1474" spans="1:9" ht="43.5" x14ac:dyDescent="0.35">
      <c r="A1474" s="195">
        <v>10</v>
      </c>
      <c r="B1474" s="195">
        <v>55</v>
      </c>
      <c r="C1474" s="195" t="s">
        <v>1927</v>
      </c>
      <c r="D1474" s="195">
        <v>315</v>
      </c>
      <c r="E1474" s="195" t="s">
        <v>373</v>
      </c>
      <c r="F1474" s="71" t="s">
        <v>367</v>
      </c>
      <c r="G1474" s="71" t="s">
        <v>1917</v>
      </c>
      <c r="H1474" s="71" t="s">
        <v>397</v>
      </c>
      <c r="I1474" s="71" t="s">
        <v>1873</v>
      </c>
    </row>
    <row r="1475" spans="1:9" ht="43.5" x14ac:dyDescent="0.35">
      <c r="A1475" s="195">
        <v>10</v>
      </c>
      <c r="B1475" s="195">
        <v>56</v>
      </c>
      <c r="C1475" s="195" t="s">
        <v>1928</v>
      </c>
      <c r="D1475" s="195">
        <v>135</v>
      </c>
      <c r="E1475" s="195" t="s">
        <v>373</v>
      </c>
      <c r="F1475" s="71" t="s">
        <v>367</v>
      </c>
      <c r="G1475" s="71" t="s">
        <v>1917</v>
      </c>
      <c r="H1475" s="71" t="s">
        <v>397</v>
      </c>
      <c r="I1475" s="71" t="s">
        <v>1875</v>
      </c>
    </row>
    <row r="1476" spans="1:9" ht="43.5" x14ac:dyDescent="0.35">
      <c r="A1476" s="195">
        <v>10</v>
      </c>
      <c r="B1476" s="195">
        <v>57</v>
      </c>
      <c r="C1476" s="195" t="s">
        <v>1929</v>
      </c>
      <c r="D1476" s="195">
        <v>20</v>
      </c>
      <c r="E1476" s="195" t="s">
        <v>373</v>
      </c>
      <c r="F1476" s="71" t="s">
        <v>367</v>
      </c>
      <c r="G1476" s="71" t="s">
        <v>1917</v>
      </c>
      <c r="H1476" s="71" t="s">
        <v>397</v>
      </c>
      <c r="I1476" s="71" t="s">
        <v>1877</v>
      </c>
    </row>
    <row r="1477" spans="1:9" ht="43.5" x14ac:dyDescent="0.35">
      <c r="A1477" s="195">
        <v>10</v>
      </c>
      <c r="B1477" s="195">
        <v>58</v>
      </c>
      <c r="C1477" s="195" t="s">
        <v>1930</v>
      </c>
      <c r="D1477" s="195">
        <v>365</v>
      </c>
      <c r="E1477" s="195" t="s">
        <v>366</v>
      </c>
      <c r="F1477" s="71" t="s">
        <v>367</v>
      </c>
      <c r="G1477" s="71" t="s">
        <v>1917</v>
      </c>
      <c r="H1477" s="71" t="s">
        <v>406</v>
      </c>
      <c r="I1477" s="71" t="s">
        <v>1867</v>
      </c>
    </row>
    <row r="1478" spans="1:9" ht="43.5" x14ac:dyDescent="0.35">
      <c r="A1478" s="195">
        <v>10</v>
      </c>
      <c r="B1478" s="195">
        <v>59</v>
      </c>
      <c r="C1478" s="195" t="s">
        <v>1931</v>
      </c>
      <c r="D1478" s="195">
        <v>215</v>
      </c>
      <c r="E1478" s="195" t="s">
        <v>373</v>
      </c>
      <c r="F1478" s="71" t="s">
        <v>367</v>
      </c>
      <c r="G1478" s="71" t="s">
        <v>1917</v>
      </c>
      <c r="H1478" s="71" t="s">
        <v>406</v>
      </c>
      <c r="I1478" s="71" t="s">
        <v>1873</v>
      </c>
    </row>
    <row r="1479" spans="1:9" ht="43.5" x14ac:dyDescent="0.35">
      <c r="A1479" s="195">
        <v>10</v>
      </c>
      <c r="B1479" s="195">
        <v>60</v>
      </c>
      <c r="C1479" s="195" t="s">
        <v>1932</v>
      </c>
      <c r="D1479" s="195">
        <v>140</v>
      </c>
      <c r="E1479" s="195" t="s">
        <v>373</v>
      </c>
      <c r="F1479" s="71" t="s">
        <v>367</v>
      </c>
      <c r="G1479" s="71" t="s">
        <v>1917</v>
      </c>
      <c r="H1479" s="71" t="s">
        <v>406</v>
      </c>
      <c r="I1479" s="71" t="s">
        <v>1875</v>
      </c>
    </row>
    <row r="1480" spans="1:9" ht="43.5" x14ac:dyDescent="0.35">
      <c r="A1480" s="195">
        <v>10</v>
      </c>
      <c r="B1480" s="195">
        <v>61</v>
      </c>
      <c r="C1480" s="195" t="s">
        <v>1933</v>
      </c>
      <c r="D1480" s="195">
        <v>10</v>
      </c>
      <c r="E1480" s="195" t="s">
        <v>373</v>
      </c>
      <c r="F1480" s="71" t="s">
        <v>367</v>
      </c>
      <c r="G1480" s="71" t="s">
        <v>1917</v>
      </c>
      <c r="H1480" s="71" t="s">
        <v>406</v>
      </c>
      <c r="I1480" s="71" t="s">
        <v>1877</v>
      </c>
    </row>
    <row r="1481" spans="1:9" ht="29" x14ac:dyDescent="0.35">
      <c r="A1481" s="195">
        <v>10</v>
      </c>
      <c r="B1481" s="195">
        <v>62</v>
      </c>
      <c r="C1481" s="195" t="s">
        <v>1934</v>
      </c>
      <c r="D1481" s="64">
        <v>955</v>
      </c>
      <c r="E1481" s="195" t="s">
        <v>366</v>
      </c>
      <c r="F1481" s="71" t="s">
        <v>367</v>
      </c>
      <c r="G1481" s="71" t="s">
        <v>1917</v>
      </c>
      <c r="H1481" s="71" t="s">
        <v>415</v>
      </c>
      <c r="I1481" s="71" t="s">
        <v>1867</v>
      </c>
    </row>
    <row r="1482" spans="1:9" ht="29" x14ac:dyDescent="0.35">
      <c r="A1482" s="195">
        <v>10</v>
      </c>
      <c r="B1482" s="195">
        <v>63</v>
      </c>
      <c r="C1482" s="195" t="s">
        <v>1935</v>
      </c>
      <c r="D1482" s="64">
        <v>530</v>
      </c>
      <c r="E1482" s="195" t="s">
        <v>373</v>
      </c>
      <c r="F1482" s="71" t="s">
        <v>367</v>
      </c>
      <c r="G1482" s="71" t="s">
        <v>1917</v>
      </c>
      <c r="H1482" s="71" t="s">
        <v>415</v>
      </c>
      <c r="I1482" s="71" t="s">
        <v>1873</v>
      </c>
    </row>
    <row r="1483" spans="1:9" ht="43.5" x14ac:dyDescent="0.35">
      <c r="A1483" s="195">
        <v>10</v>
      </c>
      <c r="B1483" s="195">
        <v>64</v>
      </c>
      <c r="C1483" s="195" t="s">
        <v>1936</v>
      </c>
      <c r="D1483" s="195">
        <v>220</v>
      </c>
      <c r="E1483" s="195" t="s">
        <v>373</v>
      </c>
      <c r="F1483" s="71" t="s">
        <v>367</v>
      </c>
      <c r="G1483" s="71" t="s">
        <v>1917</v>
      </c>
      <c r="H1483" s="71" t="s">
        <v>415</v>
      </c>
      <c r="I1483" s="71" t="s">
        <v>1875</v>
      </c>
    </row>
    <row r="1484" spans="1:9" ht="29" x14ac:dyDescent="0.35">
      <c r="A1484" s="195">
        <v>10</v>
      </c>
      <c r="B1484" s="195">
        <v>65</v>
      </c>
      <c r="C1484" s="195" t="s">
        <v>1937</v>
      </c>
      <c r="D1484" s="195">
        <v>200</v>
      </c>
      <c r="E1484" s="195" t="s">
        <v>373</v>
      </c>
      <c r="F1484" s="71" t="s">
        <v>367</v>
      </c>
      <c r="G1484" s="71" t="s">
        <v>1917</v>
      </c>
      <c r="H1484" s="71" t="s">
        <v>415</v>
      </c>
      <c r="I1484" s="71" t="s">
        <v>1877</v>
      </c>
    </row>
    <row r="1485" spans="1:9" x14ac:dyDescent="0.35">
      <c r="A1485" s="195">
        <v>10</v>
      </c>
      <c r="B1485" s="195">
        <v>66</v>
      </c>
      <c r="C1485" s="195" t="s">
        <v>1938</v>
      </c>
      <c r="D1485" s="64">
        <v>582690</v>
      </c>
      <c r="E1485" s="195" t="s">
        <v>366</v>
      </c>
      <c r="F1485" s="71" t="s">
        <v>508</v>
      </c>
      <c r="G1485" s="71" t="s">
        <v>1866</v>
      </c>
      <c r="H1485" s="71" t="s">
        <v>363</v>
      </c>
      <c r="I1485" s="71" t="s">
        <v>1867</v>
      </c>
    </row>
    <row r="1486" spans="1:9" ht="29" x14ac:dyDescent="0.35">
      <c r="A1486" s="195">
        <v>10</v>
      </c>
      <c r="B1486" s="195">
        <v>67</v>
      </c>
      <c r="C1486" s="195" t="s">
        <v>1939</v>
      </c>
      <c r="D1486" s="64">
        <v>551545</v>
      </c>
      <c r="E1486" s="195" t="s">
        <v>366</v>
      </c>
      <c r="F1486" s="71" t="s">
        <v>508</v>
      </c>
      <c r="G1486" s="71" t="s">
        <v>1870</v>
      </c>
      <c r="H1486" s="71" t="s">
        <v>363</v>
      </c>
      <c r="I1486" s="71" t="s">
        <v>1867</v>
      </c>
    </row>
    <row r="1487" spans="1:9" ht="29" x14ac:dyDescent="0.35">
      <c r="A1487" s="195">
        <v>10</v>
      </c>
      <c r="B1487" s="195">
        <v>68</v>
      </c>
      <c r="C1487" s="195" t="s">
        <v>1940</v>
      </c>
      <c r="D1487" s="64">
        <v>179070</v>
      </c>
      <c r="E1487" s="195" t="s">
        <v>366</v>
      </c>
      <c r="F1487" s="71" t="s">
        <v>508</v>
      </c>
      <c r="G1487" s="71" t="s">
        <v>1870</v>
      </c>
      <c r="H1487" s="71" t="s">
        <v>371</v>
      </c>
      <c r="I1487" s="71" t="s">
        <v>1867</v>
      </c>
    </row>
    <row r="1488" spans="1:9" ht="29" x14ac:dyDescent="0.35">
      <c r="A1488" s="195">
        <v>10</v>
      </c>
      <c r="B1488" s="195">
        <v>69</v>
      </c>
      <c r="C1488" s="195" t="s">
        <v>1941</v>
      </c>
      <c r="D1488" s="64">
        <v>67540</v>
      </c>
      <c r="E1488" s="195" t="s">
        <v>373</v>
      </c>
      <c r="F1488" s="71" t="s">
        <v>508</v>
      </c>
      <c r="G1488" s="71" t="s">
        <v>1870</v>
      </c>
      <c r="H1488" s="71" t="s">
        <v>371</v>
      </c>
      <c r="I1488" s="71" t="s">
        <v>1873</v>
      </c>
    </row>
    <row r="1489" spans="1:9" ht="43.5" x14ac:dyDescent="0.35">
      <c r="A1489" s="195">
        <v>10</v>
      </c>
      <c r="B1489" s="195">
        <v>70</v>
      </c>
      <c r="C1489" s="195" t="s">
        <v>1942</v>
      </c>
      <c r="D1489" s="64">
        <v>4830</v>
      </c>
      <c r="E1489" s="195" t="s">
        <v>373</v>
      </c>
      <c r="F1489" s="71" t="s">
        <v>508</v>
      </c>
      <c r="G1489" s="71" t="s">
        <v>1870</v>
      </c>
      <c r="H1489" s="71" t="s">
        <v>371</v>
      </c>
      <c r="I1489" s="71" t="s">
        <v>1875</v>
      </c>
    </row>
    <row r="1490" spans="1:9" ht="29" x14ac:dyDescent="0.35">
      <c r="A1490" s="195">
        <v>10</v>
      </c>
      <c r="B1490" s="195">
        <v>71</v>
      </c>
      <c r="C1490" s="195" t="s">
        <v>1943</v>
      </c>
      <c r="D1490" s="64">
        <v>106700</v>
      </c>
      <c r="E1490" s="195" t="s">
        <v>373</v>
      </c>
      <c r="F1490" s="71" t="s">
        <v>508</v>
      </c>
      <c r="G1490" s="71" t="s">
        <v>1870</v>
      </c>
      <c r="H1490" s="71" t="s">
        <v>371</v>
      </c>
      <c r="I1490" s="71" t="s">
        <v>1877</v>
      </c>
    </row>
    <row r="1491" spans="1:9" ht="43.5" x14ac:dyDescent="0.35">
      <c r="A1491" s="195">
        <v>10</v>
      </c>
      <c r="B1491" s="195">
        <v>72</v>
      </c>
      <c r="C1491" s="195" t="s">
        <v>1944</v>
      </c>
      <c r="D1491" s="64">
        <v>92000</v>
      </c>
      <c r="E1491" s="195" t="s">
        <v>366</v>
      </c>
      <c r="F1491" s="71" t="s">
        <v>508</v>
      </c>
      <c r="G1491" s="71" t="s">
        <v>1870</v>
      </c>
      <c r="H1491" s="71" t="s">
        <v>388</v>
      </c>
      <c r="I1491" s="71" t="s">
        <v>1867</v>
      </c>
    </row>
    <row r="1492" spans="1:9" ht="43.5" x14ac:dyDescent="0.35">
      <c r="A1492" s="195">
        <v>10</v>
      </c>
      <c r="B1492" s="195">
        <v>73</v>
      </c>
      <c r="C1492" s="195" t="s">
        <v>1945</v>
      </c>
      <c r="D1492" s="64">
        <v>43485</v>
      </c>
      <c r="E1492" s="195" t="s">
        <v>373</v>
      </c>
      <c r="F1492" s="71" t="s">
        <v>508</v>
      </c>
      <c r="G1492" s="71" t="s">
        <v>1870</v>
      </c>
      <c r="H1492" s="71" t="s">
        <v>388</v>
      </c>
      <c r="I1492" s="71" t="s">
        <v>1873</v>
      </c>
    </row>
    <row r="1493" spans="1:9" ht="43.5" x14ac:dyDescent="0.35">
      <c r="A1493" s="195">
        <v>10</v>
      </c>
      <c r="B1493" s="195">
        <v>74</v>
      </c>
      <c r="C1493" s="195" t="s">
        <v>1946</v>
      </c>
      <c r="D1493" s="64">
        <v>3465</v>
      </c>
      <c r="E1493" s="195" t="s">
        <v>373</v>
      </c>
      <c r="F1493" s="71" t="s">
        <v>508</v>
      </c>
      <c r="G1493" s="71" t="s">
        <v>1870</v>
      </c>
      <c r="H1493" s="71" t="s">
        <v>388</v>
      </c>
      <c r="I1493" s="71" t="s">
        <v>1875</v>
      </c>
    </row>
    <row r="1494" spans="1:9" ht="43.5" x14ac:dyDescent="0.35">
      <c r="A1494" s="195">
        <v>10</v>
      </c>
      <c r="B1494" s="195">
        <v>75</v>
      </c>
      <c r="C1494" s="195" t="s">
        <v>1947</v>
      </c>
      <c r="D1494" s="64">
        <v>45045</v>
      </c>
      <c r="E1494" s="195" t="s">
        <v>373</v>
      </c>
      <c r="F1494" s="71" t="s">
        <v>508</v>
      </c>
      <c r="G1494" s="71" t="s">
        <v>1870</v>
      </c>
      <c r="H1494" s="71" t="s">
        <v>388</v>
      </c>
      <c r="I1494" s="71" t="s">
        <v>1877</v>
      </c>
    </row>
    <row r="1495" spans="1:9" ht="43.5" x14ac:dyDescent="0.35">
      <c r="A1495" s="195">
        <v>10</v>
      </c>
      <c r="B1495" s="195">
        <v>76</v>
      </c>
      <c r="C1495" s="195" t="s">
        <v>1948</v>
      </c>
      <c r="D1495" s="64">
        <v>93565</v>
      </c>
      <c r="E1495" s="195" t="s">
        <v>366</v>
      </c>
      <c r="F1495" s="71" t="s">
        <v>508</v>
      </c>
      <c r="G1495" s="71" t="s">
        <v>1870</v>
      </c>
      <c r="H1495" s="71" t="s">
        <v>397</v>
      </c>
      <c r="I1495" s="71" t="s">
        <v>1867</v>
      </c>
    </row>
    <row r="1496" spans="1:9" ht="43.5" x14ac:dyDescent="0.35">
      <c r="A1496" s="195">
        <v>10</v>
      </c>
      <c r="B1496" s="195">
        <v>77</v>
      </c>
      <c r="C1496" s="195" t="s">
        <v>1949</v>
      </c>
      <c r="D1496" s="64">
        <v>38855</v>
      </c>
      <c r="E1496" s="195" t="s">
        <v>373</v>
      </c>
      <c r="F1496" s="71" t="s">
        <v>508</v>
      </c>
      <c r="G1496" s="71" t="s">
        <v>1870</v>
      </c>
      <c r="H1496" s="71" t="s">
        <v>397</v>
      </c>
      <c r="I1496" s="71" t="s">
        <v>1873</v>
      </c>
    </row>
    <row r="1497" spans="1:9" ht="43.5" x14ac:dyDescent="0.35">
      <c r="A1497" s="195">
        <v>10</v>
      </c>
      <c r="B1497" s="195">
        <v>78</v>
      </c>
      <c r="C1497" s="195" t="s">
        <v>1950</v>
      </c>
      <c r="D1497" s="64">
        <v>3415</v>
      </c>
      <c r="E1497" s="195" t="s">
        <v>373</v>
      </c>
      <c r="F1497" s="71" t="s">
        <v>508</v>
      </c>
      <c r="G1497" s="71" t="s">
        <v>1870</v>
      </c>
      <c r="H1497" s="71" t="s">
        <v>397</v>
      </c>
      <c r="I1497" s="71" t="s">
        <v>1875</v>
      </c>
    </row>
    <row r="1498" spans="1:9" ht="43.5" x14ac:dyDescent="0.35">
      <c r="A1498" s="195">
        <v>10</v>
      </c>
      <c r="B1498" s="195">
        <v>79</v>
      </c>
      <c r="C1498" s="195" t="s">
        <v>1951</v>
      </c>
      <c r="D1498" s="64">
        <v>51295</v>
      </c>
      <c r="E1498" s="195" t="s">
        <v>373</v>
      </c>
      <c r="F1498" s="71" t="s">
        <v>508</v>
      </c>
      <c r="G1498" s="71" t="s">
        <v>1870</v>
      </c>
      <c r="H1498" s="71" t="s">
        <v>397</v>
      </c>
      <c r="I1498" s="71" t="s">
        <v>1877</v>
      </c>
    </row>
    <row r="1499" spans="1:9" ht="43.5" x14ac:dyDescent="0.35">
      <c r="A1499" s="195">
        <v>10</v>
      </c>
      <c r="B1499" s="195">
        <v>80</v>
      </c>
      <c r="C1499" s="195" t="s">
        <v>1952</v>
      </c>
      <c r="D1499" s="64">
        <v>43710</v>
      </c>
      <c r="E1499" s="195" t="s">
        <v>366</v>
      </c>
      <c r="F1499" s="71" t="s">
        <v>508</v>
      </c>
      <c r="G1499" s="71" t="s">
        <v>1870</v>
      </c>
      <c r="H1499" s="71" t="s">
        <v>406</v>
      </c>
      <c r="I1499" s="71" t="s">
        <v>1867</v>
      </c>
    </row>
    <row r="1500" spans="1:9" ht="43.5" x14ac:dyDescent="0.35">
      <c r="A1500" s="195">
        <v>10</v>
      </c>
      <c r="B1500" s="195">
        <v>81</v>
      </c>
      <c r="C1500" s="195" t="s">
        <v>1953</v>
      </c>
      <c r="D1500" s="64">
        <v>16580</v>
      </c>
      <c r="E1500" s="195" t="s">
        <v>373</v>
      </c>
      <c r="F1500" s="71" t="s">
        <v>508</v>
      </c>
      <c r="G1500" s="71" t="s">
        <v>1870</v>
      </c>
      <c r="H1500" s="71" t="s">
        <v>406</v>
      </c>
      <c r="I1500" s="71" t="s">
        <v>1873</v>
      </c>
    </row>
    <row r="1501" spans="1:9" ht="43.5" x14ac:dyDescent="0.35">
      <c r="A1501" s="195">
        <v>10</v>
      </c>
      <c r="B1501" s="195">
        <v>82</v>
      </c>
      <c r="C1501" s="195" t="s">
        <v>1954</v>
      </c>
      <c r="D1501" s="64">
        <v>940</v>
      </c>
      <c r="E1501" s="195" t="s">
        <v>373</v>
      </c>
      <c r="F1501" s="71" t="s">
        <v>508</v>
      </c>
      <c r="G1501" s="71" t="s">
        <v>1870</v>
      </c>
      <c r="H1501" s="71" t="s">
        <v>406</v>
      </c>
      <c r="I1501" s="71" t="s">
        <v>1875</v>
      </c>
    </row>
    <row r="1502" spans="1:9" ht="43.5" x14ac:dyDescent="0.35">
      <c r="A1502" s="195">
        <v>10</v>
      </c>
      <c r="B1502" s="195">
        <v>83</v>
      </c>
      <c r="C1502" s="195" t="s">
        <v>1955</v>
      </c>
      <c r="D1502" s="64">
        <v>26190</v>
      </c>
      <c r="E1502" s="195" t="s">
        <v>373</v>
      </c>
      <c r="F1502" s="71" t="s">
        <v>508</v>
      </c>
      <c r="G1502" s="71" t="s">
        <v>1870</v>
      </c>
      <c r="H1502" s="71" t="s">
        <v>406</v>
      </c>
      <c r="I1502" s="71" t="s">
        <v>1877</v>
      </c>
    </row>
    <row r="1503" spans="1:9" ht="29" x14ac:dyDescent="0.35">
      <c r="A1503" s="195">
        <v>10</v>
      </c>
      <c r="B1503" s="195">
        <v>84</v>
      </c>
      <c r="C1503" s="195" t="s">
        <v>1956</v>
      </c>
      <c r="D1503" s="64">
        <v>143200</v>
      </c>
      <c r="E1503" s="195" t="s">
        <v>366</v>
      </c>
      <c r="F1503" s="71" t="s">
        <v>508</v>
      </c>
      <c r="G1503" s="71" t="s">
        <v>1870</v>
      </c>
      <c r="H1503" s="71" t="s">
        <v>415</v>
      </c>
      <c r="I1503" s="71" t="s">
        <v>1867</v>
      </c>
    </row>
    <row r="1504" spans="1:9" ht="29" x14ac:dyDescent="0.35">
      <c r="A1504" s="195">
        <v>10</v>
      </c>
      <c r="B1504" s="195">
        <v>85</v>
      </c>
      <c r="C1504" s="195" t="s">
        <v>1957</v>
      </c>
      <c r="D1504" s="64">
        <v>52795</v>
      </c>
      <c r="E1504" s="195" t="s">
        <v>373</v>
      </c>
      <c r="F1504" s="71" t="s">
        <v>508</v>
      </c>
      <c r="G1504" s="71" t="s">
        <v>1870</v>
      </c>
      <c r="H1504" s="71" t="s">
        <v>415</v>
      </c>
      <c r="I1504" s="71" t="s">
        <v>1873</v>
      </c>
    </row>
    <row r="1505" spans="1:9" ht="43.5" x14ac:dyDescent="0.35">
      <c r="A1505" s="195">
        <v>10</v>
      </c>
      <c r="B1505" s="195">
        <v>86</v>
      </c>
      <c r="C1505" s="195" t="s">
        <v>1958</v>
      </c>
      <c r="D1505" s="64">
        <v>1635</v>
      </c>
      <c r="E1505" s="195" t="s">
        <v>373</v>
      </c>
      <c r="F1505" s="71" t="s">
        <v>508</v>
      </c>
      <c r="G1505" s="71" t="s">
        <v>1870</v>
      </c>
      <c r="H1505" s="71" t="s">
        <v>415</v>
      </c>
      <c r="I1505" s="71" t="s">
        <v>1875</v>
      </c>
    </row>
    <row r="1506" spans="1:9" ht="29" x14ac:dyDescent="0.35">
      <c r="A1506" s="195">
        <v>10</v>
      </c>
      <c r="B1506" s="195">
        <v>87</v>
      </c>
      <c r="C1506" s="195" t="s">
        <v>1959</v>
      </c>
      <c r="D1506" s="64">
        <v>88770</v>
      </c>
      <c r="E1506" s="195" t="s">
        <v>373</v>
      </c>
      <c r="F1506" s="71" t="s">
        <v>508</v>
      </c>
      <c r="G1506" s="71" t="s">
        <v>1870</v>
      </c>
      <c r="H1506" s="71" t="s">
        <v>415</v>
      </c>
      <c r="I1506" s="71" t="s">
        <v>1877</v>
      </c>
    </row>
    <row r="1507" spans="1:9" ht="29" x14ac:dyDescent="0.35">
      <c r="A1507" s="195">
        <v>10</v>
      </c>
      <c r="B1507" s="195">
        <v>88</v>
      </c>
      <c r="C1507" s="195" t="s">
        <v>1960</v>
      </c>
      <c r="D1507" s="64">
        <v>19830</v>
      </c>
      <c r="E1507" s="195" t="s">
        <v>366</v>
      </c>
      <c r="F1507" s="71" t="s">
        <v>508</v>
      </c>
      <c r="G1507" s="71" t="s">
        <v>1895</v>
      </c>
      <c r="H1507" s="71" t="s">
        <v>363</v>
      </c>
      <c r="I1507" s="71" t="s">
        <v>1867</v>
      </c>
    </row>
    <row r="1508" spans="1:9" ht="29" x14ac:dyDescent="0.35">
      <c r="A1508" s="195">
        <v>10</v>
      </c>
      <c r="B1508" s="195">
        <v>89</v>
      </c>
      <c r="C1508" s="195" t="s">
        <v>1961</v>
      </c>
      <c r="D1508" s="64">
        <v>8435</v>
      </c>
      <c r="E1508" s="195" t="s">
        <v>366</v>
      </c>
      <c r="F1508" s="71" t="s">
        <v>508</v>
      </c>
      <c r="G1508" s="71" t="s">
        <v>1895</v>
      </c>
      <c r="H1508" s="71" t="s">
        <v>371</v>
      </c>
      <c r="I1508" s="71" t="s">
        <v>1867</v>
      </c>
    </row>
    <row r="1509" spans="1:9" ht="29" x14ac:dyDescent="0.35">
      <c r="A1509" s="195">
        <v>10</v>
      </c>
      <c r="B1509" s="195">
        <v>90</v>
      </c>
      <c r="C1509" s="195" t="s">
        <v>1962</v>
      </c>
      <c r="D1509" s="64">
        <v>6915</v>
      </c>
      <c r="E1509" s="195" t="s">
        <v>373</v>
      </c>
      <c r="F1509" s="71" t="s">
        <v>508</v>
      </c>
      <c r="G1509" s="71" t="s">
        <v>1895</v>
      </c>
      <c r="H1509" s="71" t="s">
        <v>371</v>
      </c>
      <c r="I1509" s="71" t="s">
        <v>1873</v>
      </c>
    </row>
    <row r="1510" spans="1:9" ht="43.5" x14ac:dyDescent="0.35">
      <c r="A1510" s="195">
        <v>10</v>
      </c>
      <c r="B1510" s="195">
        <v>91</v>
      </c>
      <c r="C1510" s="195" t="s">
        <v>1963</v>
      </c>
      <c r="D1510" s="64">
        <v>1420</v>
      </c>
      <c r="E1510" s="195" t="s">
        <v>373</v>
      </c>
      <c r="F1510" s="71" t="s">
        <v>508</v>
      </c>
      <c r="G1510" s="71" t="s">
        <v>1895</v>
      </c>
      <c r="H1510" s="71" t="s">
        <v>371</v>
      </c>
      <c r="I1510" s="71" t="s">
        <v>1875</v>
      </c>
    </row>
    <row r="1511" spans="1:9" ht="29" x14ac:dyDescent="0.35">
      <c r="A1511" s="195">
        <v>10</v>
      </c>
      <c r="B1511" s="195">
        <v>92</v>
      </c>
      <c r="C1511" s="195" t="s">
        <v>1964</v>
      </c>
      <c r="D1511" s="195">
        <v>100</v>
      </c>
      <c r="E1511" s="195" t="s">
        <v>373</v>
      </c>
      <c r="F1511" s="71" t="s">
        <v>508</v>
      </c>
      <c r="G1511" s="71" t="s">
        <v>1895</v>
      </c>
      <c r="H1511" s="71" t="s">
        <v>371</v>
      </c>
      <c r="I1511" s="71" t="s">
        <v>1877</v>
      </c>
    </row>
    <row r="1512" spans="1:9" ht="43.5" x14ac:dyDescent="0.35">
      <c r="A1512" s="195">
        <v>10</v>
      </c>
      <c r="B1512" s="195">
        <v>93</v>
      </c>
      <c r="C1512" s="195" t="s">
        <v>1965</v>
      </c>
      <c r="D1512" s="64">
        <v>4880</v>
      </c>
      <c r="E1512" s="195" t="s">
        <v>366</v>
      </c>
      <c r="F1512" s="71" t="s">
        <v>508</v>
      </c>
      <c r="G1512" s="71" t="s">
        <v>1895</v>
      </c>
      <c r="H1512" s="71" t="s">
        <v>388</v>
      </c>
      <c r="I1512" s="71" t="s">
        <v>1867</v>
      </c>
    </row>
    <row r="1513" spans="1:9" ht="43.5" x14ac:dyDescent="0.35">
      <c r="A1513" s="195">
        <v>10</v>
      </c>
      <c r="B1513" s="195">
        <v>94</v>
      </c>
      <c r="C1513" s="195" t="s">
        <v>1966</v>
      </c>
      <c r="D1513" s="64">
        <v>3695</v>
      </c>
      <c r="E1513" s="195" t="s">
        <v>373</v>
      </c>
      <c r="F1513" s="71" t="s">
        <v>508</v>
      </c>
      <c r="G1513" s="71" t="s">
        <v>1895</v>
      </c>
      <c r="H1513" s="71" t="s">
        <v>388</v>
      </c>
      <c r="I1513" s="71" t="s">
        <v>1873</v>
      </c>
    </row>
    <row r="1514" spans="1:9" ht="43.5" x14ac:dyDescent="0.35">
      <c r="A1514" s="195">
        <v>10</v>
      </c>
      <c r="B1514" s="195">
        <v>95</v>
      </c>
      <c r="C1514" s="195" t="s">
        <v>1967</v>
      </c>
      <c r="D1514" s="64">
        <v>1165</v>
      </c>
      <c r="E1514" s="195" t="s">
        <v>373</v>
      </c>
      <c r="F1514" s="71" t="s">
        <v>508</v>
      </c>
      <c r="G1514" s="71" t="s">
        <v>1895</v>
      </c>
      <c r="H1514" s="71" t="s">
        <v>388</v>
      </c>
      <c r="I1514" s="71" t="s">
        <v>1875</v>
      </c>
    </row>
    <row r="1515" spans="1:9" ht="43.5" x14ac:dyDescent="0.35">
      <c r="A1515" s="195">
        <v>10</v>
      </c>
      <c r="B1515" s="195">
        <v>96</v>
      </c>
      <c r="C1515" s="195" t="s">
        <v>1968</v>
      </c>
      <c r="D1515" s="195">
        <v>15</v>
      </c>
      <c r="E1515" s="195" t="s">
        <v>373</v>
      </c>
      <c r="F1515" s="71" t="s">
        <v>508</v>
      </c>
      <c r="G1515" s="71" t="s">
        <v>1895</v>
      </c>
      <c r="H1515" s="71" t="s">
        <v>388</v>
      </c>
      <c r="I1515" s="71" t="s">
        <v>1877</v>
      </c>
    </row>
    <row r="1516" spans="1:9" ht="43.5" x14ac:dyDescent="0.35">
      <c r="A1516" s="195">
        <v>10</v>
      </c>
      <c r="B1516" s="195">
        <v>97</v>
      </c>
      <c r="C1516" s="195" t="s">
        <v>1969</v>
      </c>
      <c r="D1516" s="64">
        <v>3840</v>
      </c>
      <c r="E1516" s="195" t="s">
        <v>366</v>
      </c>
      <c r="F1516" s="71" t="s">
        <v>508</v>
      </c>
      <c r="G1516" s="71" t="s">
        <v>1895</v>
      </c>
      <c r="H1516" s="71" t="s">
        <v>397</v>
      </c>
      <c r="I1516" s="71" t="s">
        <v>1867</v>
      </c>
    </row>
    <row r="1517" spans="1:9" ht="43.5" x14ac:dyDescent="0.35">
      <c r="A1517" s="195">
        <v>10</v>
      </c>
      <c r="B1517" s="195">
        <v>98</v>
      </c>
      <c r="C1517" s="195" t="s">
        <v>1970</v>
      </c>
      <c r="D1517" s="64">
        <v>2600</v>
      </c>
      <c r="E1517" s="195" t="s">
        <v>373</v>
      </c>
      <c r="F1517" s="71" t="s">
        <v>508</v>
      </c>
      <c r="G1517" s="71" t="s">
        <v>1895</v>
      </c>
      <c r="H1517" s="71" t="s">
        <v>397</v>
      </c>
      <c r="I1517" s="71" t="s">
        <v>1873</v>
      </c>
    </row>
    <row r="1518" spans="1:9" ht="43.5" x14ac:dyDescent="0.35">
      <c r="A1518" s="195">
        <v>10</v>
      </c>
      <c r="B1518" s="195">
        <v>99</v>
      </c>
      <c r="C1518" s="195" t="s">
        <v>1971</v>
      </c>
      <c r="D1518" s="64">
        <v>1125</v>
      </c>
      <c r="E1518" s="195" t="s">
        <v>373</v>
      </c>
      <c r="F1518" s="71" t="s">
        <v>508</v>
      </c>
      <c r="G1518" s="71" t="s">
        <v>1895</v>
      </c>
      <c r="H1518" s="71" t="s">
        <v>397</v>
      </c>
      <c r="I1518" s="71" t="s">
        <v>1875</v>
      </c>
    </row>
    <row r="1519" spans="1:9" ht="43.5" x14ac:dyDescent="0.35">
      <c r="A1519" s="195">
        <v>10</v>
      </c>
      <c r="B1519" s="195">
        <v>100</v>
      </c>
      <c r="C1519" s="195" t="s">
        <v>1972</v>
      </c>
      <c r="D1519" s="195">
        <v>115</v>
      </c>
      <c r="E1519" s="195" t="s">
        <v>373</v>
      </c>
      <c r="F1519" s="71" t="s">
        <v>508</v>
      </c>
      <c r="G1519" s="71" t="s">
        <v>1895</v>
      </c>
      <c r="H1519" s="71" t="s">
        <v>397</v>
      </c>
      <c r="I1519" s="71" t="s">
        <v>1877</v>
      </c>
    </row>
    <row r="1520" spans="1:9" ht="43.5" x14ac:dyDescent="0.35">
      <c r="A1520" s="195">
        <v>10</v>
      </c>
      <c r="B1520" s="195">
        <v>101</v>
      </c>
      <c r="C1520" s="195" t="s">
        <v>1973</v>
      </c>
      <c r="D1520" s="64">
        <v>1060</v>
      </c>
      <c r="E1520" s="195" t="s">
        <v>366</v>
      </c>
      <c r="F1520" s="71" t="s">
        <v>508</v>
      </c>
      <c r="G1520" s="71" t="s">
        <v>1895</v>
      </c>
      <c r="H1520" s="71" t="s">
        <v>406</v>
      </c>
      <c r="I1520" s="71" t="s">
        <v>1867</v>
      </c>
    </row>
    <row r="1521" spans="1:9" ht="43.5" x14ac:dyDescent="0.35">
      <c r="A1521" s="195">
        <v>10</v>
      </c>
      <c r="B1521" s="195">
        <v>102</v>
      </c>
      <c r="C1521" s="195" t="s">
        <v>1974</v>
      </c>
      <c r="D1521" s="64">
        <v>705</v>
      </c>
      <c r="E1521" s="195" t="s">
        <v>373</v>
      </c>
      <c r="F1521" s="71" t="s">
        <v>508</v>
      </c>
      <c r="G1521" s="71" t="s">
        <v>1895</v>
      </c>
      <c r="H1521" s="71" t="s">
        <v>406</v>
      </c>
      <c r="I1521" s="71" t="s">
        <v>1873</v>
      </c>
    </row>
    <row r="1522" spans="1:9" ht="43.5" x14ac:dyDescent="0.35">
      <c r="A1522" s="195">
        <v>10</v>
      </c>
      <c r="B1522" s="195">
        <v>103</v>
      </c>
      <c r="C1522" s="195" t="s">
        <v>1975</v>
      </c>
      <c r="D1522" s="195">
        <v>300</v>
      </c>
      <c r="E1522" s="195" t="s">
        <v>373</v>
      </c>
      <c r="F1522" s="71" t="s">
        <v>508</v>
      </c>
      <c r="G1522" s="71" t="s">
        <v>1895</v>
      </c>
      <c r="H1522" s="71" t="s">
        <v>406</v>
      </c>
      <c r="I1522" s="71" t="s">
        <v>1875</v>
      </c>
    </row>
    <row r="1523" spans="1:9" ht="43.5" x14ac:dyDescent="0.35">
      <c r="A1523" s="195">
        <v>10</v>
      </c>
      <c r="B1523" s="195">
        <v>104</v>
      </c>
      <c r="C1523" s="195" t="s">
        <v>1976</v>
      </c>
      <c r="D1523" s="195">
        <v>55</v>
      </c>
      <c r="E1523" s="195" t="s">
        <v>373</v>
      </c>
      <c r="F1523" s="71" t="s">
        <v>508</v>
      </c>
      <c r="G1523" s="71" t="s">
        <v>1895</v>
      </c>
      <c r="H1523" s="71" t="s">
        <v>406</v>
      </c>
      <c r="I1523" s="71" t="s">
        <v>1877</v>
      </c>
    </row>
    <row r="1524" spans="1:9" ht="29" x14ac:dyDescent="0.35">
      <c r="A1524" s="195">
        <v>10</v>
      </c>
      <c r="B1524" s="195">
        <v>105</v>
      </c>
      <c r="C1524" s="195" t="s">
        <v>1977</v>
      </c>
      <c r="D1524" s="64">
        <v>1615</v>
      </c>
      <c r="E1524" s="195" t="s">
        <v>366</v>
      </c>
      <c r="F1524" s="71" t="s">
        <v>508</v>
      </c>
      <c r="G1524" s="71" t="s">
        <v>1895</v>
      </c>
      <c r="H1524" s="71" t="s">
        <v>415</v>
      </c>
      <c r="I1524" s="71" t="s">
        <v>1867</v>
      </c>
    </row>
    <row r="1525" spans="1:9" ht="29" x14ac:dyDescent="0.35">
      <c r="A1525" s="195">
        <v>10</v>
      </c>
      <c r="B1525" s="195">
        <v>106</v>
      </c>
      <c r="C1525" s="195" t="s">
        <v>1978</v>
      </c>
      <c r="D1525" s="64">
        <v>1055</v>
      </c>
      <c r="E1525" s="195" t="s">
        <v>373</v>
      </c>
      <c r="F1525" s="71" t="s">
        <v>508</v>
      </c>
      <c r="G1525" s="71" t="s">
        <v>1895</v>
      </c>
      <c r="H1525" s="71" t="s">
        <v>415</v>
      </c>
      <c r="I1525" s="71" t="s">
        <v>1873</v>
      </c>
    </row>
    <row r="1526" spans="1:9" ht="43.5" x14ac:dyDescent="0.35">
      <c r="A1526" s="195">
        <v>10</v>
      </c>
      <c r="B1526" s="195">
        <v>107</v>
      </c>
      <c r="C1526" s="195" t="s">
        <v>1979</v>
      </c>
      <c r="D1526" s="195">
        <v>410</v>
      </c>
      <c r="E1526" s="195" t="s">
        <v>373</v>
      </c>
      <c r="F1526" s="71" t="s">
        <v>508</v>
      </c>
      <c r="G1526" s="71" t="s">
        <v>1895</v>
      </c>
      <c r="H1526" s="71" t="s">
        <v>415</v>
      </c>
      <c r="I1526" s="71" t="s">
        <v>1875</v>
      </c>
    </row>
    <row r="1527" spans="1:9" ht="29" x14ac:dyDescent="0.35">
      <c r="A1527" s="195">
        <v>10</v>
      </c>
      <c r="B1527" s="195">
        <v>108</v>
      </c>
      <c r="C1527" s="195" t="s">
        <v>1980</v>
      </c>
      <c r="D1527" s="195">
        <v>145</v>
      </c>
      <c r="E1527" s="195" t="s">
        <v>373</v>
      </c>
      <c r="F1527" s="71" t="s">
        <v>508</v>
      </c>
      <c r="G1527" s="71" t="s">
        <v>1895</v>
      </c>
      <c r="H1527" s="71" t="s">
        <v>415</v>
      </c>
      <c r="I1527" s="71" t="s">
        <v>1877</v>
      </c>
    </row>
    <row r="1528" spans="1:9" x14ac:dyDescent="0.35">
      <c r="A1528" s="195">
        <v>10</v>
      </c>
      <c r="B1528" s="195">
        <v>109</v>
      </c>
      <c r="C1528" s="195" t="s">
        <v>1981</v>
      </c>
      <c r="D1528" s="64">
        <v>11315</v>
      </c>
      <c r="E1528" s="195" t="s">
        <v>366</v>
      </c>
      <c r="F1528" s="71" t="s">
        <v>508</v>
      </c>
      <c r="G1528" s="71" t="s">
        <v>1917</v>
      </c>
      <c r="H1528" s="71" t="s">
        <v>363</v>
      </c>
      <c r="I1528" s="71" t="s">
        <v>1867</v>
      </c>
    </row>
    <row r="1529" spans="1:9" ht="29" x14ac:dyDescent="0.35">
      <c r="A1529" s="195">
        <v>10</v>
      </c>
      <c r="B1529" s="195">
        <v>110</v>
      </c>
      <c r="C1529" s="195" t="s">
        <v>1982</v>
      </c>
      <c r="D1529" s="64">
        <v>3935</v>
      </c>
      <c r="E1529" s="195" t="s">
        <v>366</v>
      </c>
      <c r="F1529" s="71" t="s">
        <v>508</v>
      </c>
      <c r="G1529" s="71" t="s">
        <v>1917</v>
      </c>
      <c r="H1529" s="71" t="s">
        <v>371</v>
      </c>
      <c r="I1529" s="71" t="s">
        <v>1867</v>
      </c>
    </row>
    <row r="1530" spans="1:9" ht="29" x14ac:dyDescent="0.35">
      <c r="A1530" s="195">
        <v>10</v>
      </c>
      <c r="B1530" s="195">
        <v>111</v>
      </c>
      <c r="C1530" s="195" t="s">
        <v>1983</v>
      </c>
      <c r="D1530" s="64">
        <v>2940</v>
      </c>
      <c r="E1530" s="195" t="s">
        <v>373</v>
      </c>
      <c r="F1530" s="71" t="s">
        <v>508</v>
      </c>
      <c r="G1530" s="71" t="s">
        <v>1917</v>
      </c>
      <c r="H1530" s="71" t="s">
        <v>371</v>
      </c>
      <c r="I1530" s="71" t="s">
        <v>1873</v>
      </c>
    </row>
    <row r="1531" spans="1:9" ht="43.5" x14ac:dyDescent="0.35">
      <c r="A1531" s="195">
        <v>10</v>
      </c>
      <c r="B1531" s="195">
        <v>112</v>
      </c>
      <c r="C1531" s="195" t="s">
        <v>1984</v>
      </c>
      <c r="D1531" s="195">
        <v>375</v>
      </c>
      <c r="E1531" s="195" t="s">
        <v>373</v>
      </c>
      <c r="F1531" s="71" t="s">
        <v>508</v>
      </c>
      <c r="G1531" s="71" t="s">
        <v>1917</v>
      </c>
      <c r="H1531" s="71" t="s">
        <v>371</v>
      </c>
      <c r="I1531" s="71" t="s">
        <v>1875</v>
      </c>
    </row>
    <row r="1532" spans="1:9" ht="29" x14ac:dyDescent="0.35">
      <c r="A1532" s="195">
        <v>10</v>
      </c>
      <c r="B1532" s="195">
        <v>113</v>
      </c>
      <c r="C1532" s="195" t="s">
        <v>1985</v>
      </c>
      <c r="D1532" s="195">
        <v>615</v>
      </c>
      <c r="E1532" s="195" t="s">
        <v>373</v>
      </c>
      <c r="F1532" s="71" t="s">
        <v>508</v>
      </c>
      <c r="G1532" s="71" t="s">
        <v>1917</v>
      </c>
      <c r="H1532" s="71" t="s">
        <v>371</v>
      </c>
      <c r="I1532" s="71" t="s">
        <v>1877</v>
      </c>
    </row>
    <row r="1533" spans="1:9" ht="43.5" x14ac:dyDescent="0.35">
      <c r="A1533" s="195">
        <v>10</v>
      </c>
      <c r="B1533" s="195">
        <v>114</v>
      </c>
      <c r="C1533" s="195" t="s">
        <v>1986</v>
      </c>
      <c r="D1533" s="64">
        <v>2505</v>
      </c>
      <c r="E1533" s="195" t="s">
        <v>366</v>
      </c>
      <c r="F1533" s="71" t="s">
        <v>508</v>
      </c>
      <c r="G1533" s="71" t="s">
        <v>1917</v>
      </c>
      <c r="H1533" s="71" t="s">
        <v>388</v>
      </c>
      <c r="I1533" s="71" t="s">
        <v>1867</v>
      </c>
    </row>
    <row r="1534" spans="1:9" ht="43.5" x14ac:dyDescent="0.35">
      <c r="A1534" s="195">
        <v>10</v>
      </c>
      <c r="B1534" s="195">
        <v>115</v>
      </c>
      <c r="C1534" s="195" t="s">
        <v>1987</v>
      </c>
      <c r="D1534" s="64">
        <v>1795</v>
      </c>
      <c r="E1534" s="195" t="s">
        <v>373</v>
      </c>
      <c r="F1534" s="71" t="s">
        <v>508</v>
      </c>
      <c r="G1534" s="71" t="s">
        <v>1917</v>
      </c>
      <c r="H1534" s="71" t="s">
        <v>388</v>
      </c>
      <c r="I1534" s="71" t="s">
        <v>1873</v>
      </c>
    </row>
    <row r="1535" spans="1:9" ht="43.5" x14ac:dyDescent="0.35">
      <c r="A1535" s="195">
        <v>10</v>
      </c>
      <c r="B1535" s="195">
        <v>116</v>
      </c>
      <c r="C1535" s="195" t="s">
        <v>1988</v>
      </c>
      <c r="D1535" s="195">
        <v>245</v>
      </c>
      <c r="E1535" s="195" t="s">
        <v>373</v>
      </c>
      <c r="F1535" s="71" t="s">
        <v>508</v>
      </c>
      <c r="G1535" s="71" t="s">
        <v>1917</v>
      </c>
      <c r="H1535" s="71" t="s">
        <v>388</v>
      </c>
      <c r="I1535" s="71" t="s">
        <v>1875</v>
      </c>
    </row>
    <row r="1536" spans="1:9" ht="43.5" x14ac:dyDescent="0.35">
      <c r="A1536" s="195">
        <v>10</v>
      </c>
      <c r="B1536" s="195">
        <v>117</v>
      </c>
      <c r="C1536" s="195" t="s">
        <v>1989</v>
      </c>
      <c r="D1536" s="195">
        <v>465</v>
      </c>
      <c r="E1536" s="195" t="s">
        <v>373</v>
      </c>
      <c r="F1536" s="71" t="s">
        <v>508</v>
      </c>
      <c r="G1536" s="71" t="s">
        <v>1917</v>
      </c>
      <c r="H1536" s="71" t="s">
        <v>388</v>
      </c>
      <c r="I1536" s="71" t="s">
        <v>1877</v>
      </c>
    </row>
    <row r="1537" spans="1:9" ht="43.5" x14ac:dyDescent="0.35">
      <c r="A1537" s="195">
        <v>10</v>
      </c>
      <c r="B1537" s="195">
        <v>118</v>
      </c>
      <c r="C1537" s="195" t="s">
        <v>1990</v>
      </c>
      <c r="D1537" s="64">
        <v>1985</v>
      </c>
      <c r="E1537" s="195" t="s">
        <v>366</v>
      </c>
      <c r="F1537" s="71" t="s">
        <v>508</v>
      </c>
      <c r="G1537" s="71" t="s">
        <v>1917</v>
      </c>
      <c r="H1537" s="71" t="s">
        <v>397</v>
      </c>
      <c r="I1537" s="71" t="s">
        <v>1867</v>
      </c>
    </row>
    <row r="1538" spans="1:9" ht="43.5" x14ac:dyDescent="0.35">
      <c r="A1538" s="195">
        <v>10</v>
      </c>
      <c r="B1538" s="195">
        <v>119</v>
      </c>
      <c r="C1538" s="195" t="s">
        <v>1991</v>
      </c>
      <c r="D1538" s="64">
        <v>1270</v>
      </c>
      <c r="E1538" s="195" t="s">
        <v>373</v>
      </c>
      <c r="F1538" s="71" t="s">
        <v>508</v>
      </c>
      <c r="G1538" s="71" t="s">
        <v>1917</v>
      </c>
      <c r="H1538" s="71" t="s">
        <v>397</v>
      </c>
      <c r="I1538" s="71" t="s">
        <v>1873</v>
      </c>
    </row>
    <row r="1539" spans="1:9" ht="43.5" x14ac:dyDescent="0.35">
      <c r="A1539" s="195">
        <v>10</v>
      </c>
      <c r="B1539" s="195">
        <v>120</v>
      </c>
      <c r="C1539" s="195" t="s">
        <v>1992</v>
      </c>
      <c r="D1539" s="195">
        <v>275</v>
      </c>
      <c r="E1539" s="195" t="s">
        <v>373</v>
      </c>
      <c r="F1539" s="71" t="s">
        <v>508</v>
      </c>
      <c r="G1539" s="71" t="s">
        <v>1917</v>
      </c>
      <c r="H1539" s="71" t="s">
        <v>397</v>
      </c>
      <c r="I1539" s="71" t="s">
        <v>1875</v>
      </c>
    </row>
    <row r="1540" spans="1:9" ht="43.5" x14ac:dyDescent="0.35">
      <c r="A1540" s="195">
        <v>10</v>
      </c>
      <c r="B1540" s="195">
        <v>121</v>
      </c>
      <c r="C1540" s="195" t="s">
        <v>1993</v>
      </c>
      <c r="D1540" s="195">
        <v>440</v>
      </c>
      <c r="E1540" s="195" t="s">
        <v>373</v>
      </c>
      <c r="F1540" s="71" t="s">
        <v>508</v>
      </c>
      <c r="G1540" s="71" t="s">
        <v>1917</v>
      </c>
      <c r="H1540" s="71" t="s">
        <v>397</v>
      </c>
      <c r="I1540" s="71" t="s">
        <v>1877</v>
      </c>
    </row>
    <row r="1541" spans="1:9" ht="43.5" x14ac:dyDescent="0.35">
      <c r="A1541" s="195">
        <v>10</v>
      </c>
      <c r="B1541" s="195">
        <v>122</v>
      </c>
      <c r="C1541" s="195" t="s">
        <v>1994</v>
      </c>
      <c r="D1541" s="64">
        <v>915</v>
      </c>
      <c r="E1541" s="195" t="s">
        <v>366</v>
      </c>
      <c r="F1541" s="71" t="s">
        <v>508</v>
      </c>
      <c r="G1541" s="71" t="s">
        <v>1917</v>
      </c>
      <c r="H1541" s="71" t="s">
        <v>406</v>
      </c>
      <c r="I1541" s="71" t="s">
        <v>1867</v>
      </c>
    </row>
    <row r="1542" spans="1:9" ht="43.5" x14ac:dyDescent="0.35">
      <c r="A1542" s="195">
        <v>10</v>
      </c>
      <c r="B1542" s="195">
        <v>123</v>
      </c>
      <c r="C1542" s="195" t="s">
        <v>1995</v>
      </c>
      <c r="D1542" s="195">
        <v>560</v>
      </c>
      <c r="E1542" s="195" t="s">
        <v>373</v>
      </c>
      <c r="F1542" s="71" t="s">
        <v>508</v>
      </c>
      <c r="G1542" s="71" t="s">
        <v>1917</v>
      </c>
      <c r="H1542" s="71" t="s">
        <v>406</v>
      </c>
      <c r="I1542" s="71" t="s">
        <v>1873</v>
      </c>
    </row>
    <row r="1543" spans="1:9" ht="43.5" x14ac:dyDescent="0.35">
      <c r="A1543" s="195">
        <v>10</v>
      </c>
      <c r="B1543" s="195">
        <v>124</v>
      </c>
      <c r="C1543" s="195" t="s">
        <v>1996</v>
      </c>
      <c r="D1543" s="195">
        <v>70</v>
      </c>
      <c r="E1543" s="195" t="s">
        <v>373</v>
      </c>
      <c r="F1543" s="71" t="s">
        <v>508</v>
      </c>
      <c r="G1543" s="71" t="s">
        <v>1917</v>
      </c>
      <c r="H1543" s="71" t="s">
        <v>406</v>
      </c>
      <c r="I1543" s="71" t="s">
        <v>1875</v>
      </c>
    </row>
    <row r="1544" spans="1:9" ht="43.5" x14ac:dyDescent="0.35">
      <c r="A1544" s="195">
        <v>10</v>
      </c>
      <c r="B1544" s="195">
        <v>125</v>
      </c>
      <c r="C1544" s="195" t="s">
        <v>1997</v>
      </c>
      <c r="D1544" s="195">
        <v>290</v>
      </c>
      <c r="E1544" s="195" t="s">
        <v>373</v>
      </c>
      <c r="F1544" s="71" t="s">
        <v>508</v>
      </c>
      <c r="G1544" s="71" t="s">
        <v>1917</v>
      </c>
      <c r="H1544" s="71" t="s">
        <v>406</v>
      </c>
      <c r="I1544" s="71" t="s">
        <v>1877</v>
      </c>
    </row>
    <row r="1545" spans="1:9" ht="29" x14ac:dyDescent="0.35">
      <c r="A1545" s="195">
        <v>10</v>
      </c>
      <c r="B1545" s="195">
        <v>126</v>
      </c>
      <c r="C1545" s="195" t="s">
        <v>1998</v>
      </c>
      <c r="D1545" s="64">
        <v>1970</v>
      </c>
      <c r="E1545" s="195" t="s">
        <v>366</v>
      </c>
      <c r="F1545" s="71" t="s">
        <v>508</v>
      </c>
      <c r="G1545" s="71" t="s">
        <v>1917</v>
      </c>
      <c r="H1545" s="71" t="s">
        <v>415</v>
      </c>
      <c r="I1545" s="71" t="s">
        <v>1867</v>
      </c>
    </row>
    <row r="1546" spans="1:9" ht="29" x14ac:dyDescent="0.35">
      <c r="A1546" s="195">
        <v>10</v>
      </c>
      <c r="B1546" s="195">
        <v>127</v>
      </c>
      <c r="C1546" s="195" t="s">
        <v>1999</v>
      </c>
      <c r="D1546" s="64">
        <v>1075</v>
      </c>
      <c r="E1546" s="195" t="s">
        <v>373</v>
      </c>
      <c r="F1546" s="71" t="s">
        <v>508</v>
      </c>
      <c r="G1546" s="71" t="s">
        <v>1917</v>
      </c>
      <c r="H1546" s="71" t="s">
        <v>415</v>
      </c>
      <c r="I1546" s="71" t="s">
        <v>1873</v>
      </c>
    </row>
    <row r="1547" spans="1:9" ht="43.5" x14ac:dyDescent="0.35">
      <c r="A1547" s="195">
        <v>10</v>
      </c>
      <c r="B1547" s="195">
        <v>128</v>
      </c>
      <c r="C1547" s="195" t="s">
        <v>2000</v>
      </c>
      <c r="D1547" s="195">
        <v>70</v>
      </c>
      <c r="E1547" s="195" t="s">
        <v>373</v>
      </c>
      <c r="F1547" s="71" t="s">
        <v>508</v>
      </c>
      <c r="G1547" s="71" t="s">
        <v>1917</v>
      </c>
      <c r="H1547" s="71" t="s">
        <v>415</v>
      </c>
      <c r="I1547" s="71" t="s">
        <v>1875</v>
      </c>
    </row>
    <row r="1548" spans="1:9" ht="29" x14ac:dyDescent="0.35">
      <c r="A1548" s="195">
        <v>10</v>
      </c>
      <c r="B1548" s="195">
        <v>129</v>
      </c>
      <c r="C1548" s="195" t="s">
        <v>2001</v>
      </c>
      <c r="D1548" s="195">
        <v>825</v>
      </c>
      <c r="E1548" s="195" t="s">
        <v>373</v>
      </c>
      <c r="F1548" s="71" t="s">
        <v>508</v>
      </c>
      <c r="G1548" s="71" t="s">
        <v>1917</v>
      </c>
      <c r="H1548" s="71" t="s">
        <v>415</v>
      </c>
      <c r="I1548" s="71" t="s">
        <v>1877</v>
      </c>
    </row>
    <row r="1549" spans="1:9" ht="29" x14ac:dyDescent="0.35">
      <c r="A1549" s="195">
        <v>11</v>
      </c>
      <c r="B1549" s="195">
        <v>1</v>
      </c>
      <c r="C1549" s="195" t="s">
        <v>2002</v>
      </c>
      <c r="D1549" s="64">
        <v>1042580</v>
      </c>
      <c r="E1549" s="195" t="s">
        <v>26</v>
      </c>
      <c r="F1549" s="71" t="s">
        <v>361</v>
      </c>
      <c r="G1549" s="71" t="s">
        <v>362</v>
      </c>
      <c r="H1549" s="71" t="s">
        <v>363</v>
      </c>
    </row>
    <row r="1550" spans="1:9" x14ac:dyDescent="0.35">
      <c r="A1550" s="195">
        <v>11</v>
      </c>
      <c r="B1550" s="195">
        <v>2</v>
      </c>
      <c r="C1550" s="195" t="s">
        <v>2003</v>
      </c>
      <c r="D1550" s="64">
        <v>459890</v>
      </c>
      <c r="E1550" s="195" t="s">
        <v>366</v>
      </c>
      <c r="F1550" s="71" t="s">
        <v>367</v>
      </c>
      <c r="G1550" s="71" t="s">
        <v>362</v>
      </c>
      <c r="H1550" s="71" t="s">
        <v>363</v>
      </c>
    </row>
    <row r="1551" spans="1:9" ht="29" x14ac:dyDescent="0.35">
      <c r="A1551" s="195">
        <v>11</v>
      </c>
      <c r="B1551" s="195">
        <v>3</v>
      </c>
      <c r="C1551" s="195" t="s">
        <v>2004</v>
      </c>
      <c r="D1551" s="64">
        <v>158520</v>
      </c>
      <c r="E1551" s="195" t="s">
        <v>366</v>
      </c>
      <c r="F1551" s="71" t="s">
        <v>367</v>
      </c>
      <c r="G1551" s="71" t="s">
        <v>2005</v>
      </c>
      <c r="H1551" s="71" t="s">
        <v>363</v>
      </c>
    </row>
    <row r="1552" spans="1:9" ht="29" x14ac:dyDescent="0.35">
      <c r="A1552" s="195">
        <v>11</v>
      </c>
      <c r="B1552" s="195">
        <v>4</v>
      </c>
      <c r="C1552" s="195" t="s">
        <v>2006</v>
      </c>
      <c r="D1552" s="64">
        <v>20045</v>
      </c>
      <c r="E1552" s="195" t="s">
        <v>373</v>
      </c>
      <c r="F1552" s="71" t="s">
        <v>367</v>
      </c>
      <c r="G1552" s="71" t="s">
        <v>2005</v>
      </c>
      <c r="H1552" s="71" t="s">
        <v>2007</v>
      </c>
    </row>
    <row r="1553" spans="1:8" ht="43.5" x14ac:dyDescent="0.35">
      <c r="A1553" s="195">
        <v>11</v>
      </c>
      <c r="B1553" s="195">
        <v>5</v>
      </c>
      <c r="C1553" s="195" t="s">
        <v>2008</v>
      </c>
      <c r="D1553" s="64">
        <v>19270</v>
      </c>
      <c r="E1553" s="195" t="s">
        <v>373</v>
      </c>
      <c r="F1553" s="71" t="s">
        <v>367</v>
      </c>
      <c r="G1553" s="71" t="s">
        <v>2005</v>
      </c>
      <c r="H1553" s="71" t="s">
        <v>2009</v>
      </c>
    </row>
    <row r="1554" spans="1:8" ht="43.5" x14ac:dyDescent="0.35">
      <c r="A1554" s="195">
        <v>11</v>
      </c>
      <c r="B1554" s="195">
        <v>6</v>
      </c>
      <c r="C1554" s="195" t="s">
        <v>2010</v>
      </c>
      <c r="D1554" s="64">
        <v>18330</v>
      </c>
      <c r="E1554" s="195" t="s">
        <v>373</v>
      </c>
      <c r="F1554" s="71" t="s">
        <v>367</v>
      </c>
      <c r="G1554" s="71" t="s">
        <v>2005</v>
      </c>
      <c r="H1554" s="71" t="s">
        <v>2011</v>
      </c>
    </row>
    <row r="1555" spans="1:8" ht="43.5" x14ac:dyDescent="0.35">
      <c r="A1555" s="195">
        <v>11</v>
      </c>
      <c r="B1555" s="195">
        <v>7</v>
      </c>
      <c r="C1555" s="195" t="s">
        <v>2012</v>
      </c>
      <c r="D1555" s="64">
        <v>17275</v>
      </c>
      <c r="E1555" s="195" t="s">
        <v>373</v>
      </c>
      <c r="F1555" s="71" t="s">
        <v>367</v>
      </c>
      <c r="G1555" s="71" t="s">
        <v>2005</v>
      </c>
      <c r="H1555" s="71" t="s">
        <v>2013</v>
      </c>
    </row>
    <row r="1556" spans="1:8" ht="43.5" x14ac:dyDescent="0.35">
      <c r="A1556" s="195">
        <v>11</v>
      </c>
      <c r="B1556" s="195">
        <v>8</v>
      </c>
      <c r="C1556" s="195" t="s">
        <v>2014</v>
      </c>
      <c r="D1556" s="64">
        <v>14280</v>
      </c>
      <c r="E1556" s="195" t="s">
        <v>373</v>
      </c>
      <c r="F1556" s="71" t="s">
        <v>367</v>
      </c>
      <c r="G1556" s="71" t="s">
        <v>2005</v>
      </c>
      <c r="H1556" s="71" t="s">
        <v>2015</v>
      </c>
    </row>
    <row r="1557" spans="1:8" ht="43.5" x14ac:dyDescent="0.35">
      <c r="A1557" s="195">
        <v>11</v>
      </c>
      <c r="B1557" s="195">
        <v>9</v>
      </c>
      <c r="C1557" s="195" t="s">
        <v>2016</v>
      </c>
      <c r="D1557" s="64">
        <v>6625</v>
      </c>
      <c r="E1557" s="195" t="s">
        <v>373</v>
      </c>
      <c r="F1557" s="71" t="s">
        <v>367</v>
      </c>
      <c r="G1557" s="71" t="s">
        <v>2005</v>
      </c>
      <c r="H1557" s="71" t="s">
        <v>2017</v>
      </c>
    </row>
    <row r="1558" spans="1:8" ht="43.5" x14ac:dyDescent="0.35">
      <c r="A1558" s="195">
        <v>11</v>
      </c>
      <c r="B1558" s="195">
        <v>10</v>
      </c>
      <c r="C1558" s="195" t="s">
        <v>2018</v>
      </c>
      <c r="D1558" s="64">
        <v>16190</v>
      </c>
      <c r="E1558" s="195" t="s">
        <v>373</v>
      </c>
      <c r="F1558" s="71" t="s">
        <v>367</v>
      </c>
      <c r="G1558" s="71" t="s">
        <v>2005</v>
      </c>
      <c r="H1558" s="71" t="s">
        <v>2019</v>
      </c>
    </row>
    <row r="1559" spans="1:8" ht="43.5" x14ac:dyDescent="0.35">
      <c r="A1559" s="195">
        <v>11</v>
      </c>
      <c r="B1559" s="195">
        <v>11</v>
      </c>
      <c r="C1559" s="195" t="s">
        <v>2020</v>
      </c>
      <c r="D1559" s="64">
        <v>12995</v>
      </c>
      <c r="E1559" s="195" t="s">
        <v>373</v>
      </c>
      <c r="F1559" s="71" t="s">
        <v>367</v>
      </c>
      <c r="G1559" s="71" t="s">
        <v>2005</v>
      </c>
      <c r="H1559" s="71" t="s">
        <v>2021</v>
      </c>
    </row>
    <row r="1560" spans="1:8" ht="43.5" x14ac:dyDescent="0.35">
      <c r="A1560" s="195">
        <v>11</v>
      </c>
      <c r="B1560" s="195">
        <v>12</v>
      </c>
      <c r="C1560" s="195" t="s">
        <v>2022</v>
      </c>
      <c r="D1560" s="64">
        <v>3560</v>
      </c>
      <c r="E1560" s="195" t="s">
        <v>373</v>
      </c>
      <c r="F1560" s="71" t="s">
        <v>367</v>
      </c>
      <c r="G1560" s="71" t="s">
        <v>2005</v>
      </c>
      <c r="H1560" s="71" t="s">
        <v>2023</v>
      </c>
    </row>
    <row r="1561" spans="1:8" ht="43.5" x14ac:dyDescent="0.35">
      <c r="A1561" s="195">
        <v>11</v>
      </c>
      <c r="B1561" s="195">
        <v>13</v>
      </c>
      <c r="C1561" s="195" t="s">
        <v>2024</v>
      </c>
      <c r="D1561" s="64">
        <v>8165</v>
      </c>
      <c r="E1561" s="195" t="s">
        <v>373</v>
      </c>
      <c r="F1561" s="71" t="s">
        <v>367</v>
      </c>
      <c r="G1561" s="71" t="s">
        <v>2005</v>
      </c>
      <c r="H1561" s="71" t="s">
        <v>2025</v>
      </c>
    </row>
    <row r="1562" spans="1:8" ht="43.5" x14ac:dyDescent="0.35">
      <c r="A1562" s="195">
        <v>11</v>
      </c>
      <c r="B1562" s="195">
        <v>14</v>
      </c>
      <c r="C1562" s="195" t="s">
        <v>2026</v>
      </c>
      <c r="D1562" s="64">
        <v>2365</v>
      </c>
      <c r="E1562" s="195" t="s">
        <v>373</v>
      </c>
      <c r="F1562" s="71" t="s">
        <v>367</v>
      </c>
      <c r="G1562" s="71" t="s">
        <v>2005</v>
      </c>
      <c r="H1562" s="71" t="s">
        <v>2027</v>
      </c>
    </row>
    <row r="1563" spans="1:8" ht="43.5" x14ac:dyDescent="0.35">
      <c r="A1563" s="195">
        <v>11</v>
      </c>
      <c r="B1563" s="195">
        <v>15</v>
      </c>
      <c r="C1563" s="195" t="s">
        <v>2028</v>
      </c>
      <c r="D1563" s="64">
        <v>7135</v>
      </c>
      <c r="E1563" s="195" t="s">
        <v>373</v>
      </c>
      <c r="F1563" s="71" t="s">
        <v>367</v>
      </c>
      <c r="G1563" s="71" t="s">
        <v>2005</v>
      </c>
      <c r="H1563" s="71" t="s">
        <v>2029</v>
      </c>
    </row>
    <row r="1564" spans="1:8" ht="29" x14ac:dyDescent="0.35">
      <c r="A1564" s="195">
        <v>11</v>
      </c>
      <c r="B1564" s="195">
        <v>16</v>
      </c>
      <c r="C1564" s="195" t="s">
        <v>2030</v>
      </c>
      <c r="D1564" s="64">
        <v>12285</v>
      </c>
      <c r="E1564" s="195" t="s">
        <v>373</v>
      </c>
      <c r="F1564" s="71" t="s">
        <v>367</v>
      </c>
      <c r="G1564" s="71" t="s">
        <v>2005</v>
      </c>
      <c r="H1564" s="71" t="s">
        <v>2031</v>
      </c>
    </row>
    <row r="1565" spans="1:8" ht="29" x14ac:dyDescent="0.35">
      <c r="A1565" s="195">
        <v>11</v>
      </c>
      <c r="B1565" s="195">
        <v>17</v>
      </c>
      <c r="C1565" s="195" t="s">
        <v>2032</v>
      </c>
      <c r="D1565" s="64">
        <v>296825</v>
      </c>
      <c r="E1565" s="195" t="s">
        <v>366</v>
      </c>
      <c r="F1565" s="71" t="s">
        <v>367</v>
      </c>
      <c r="G1565" s="71" t="s">
        <v>2033</v>
      </c>
      <c r="H1565" s="71" t="s">
        <v>363</v>
      </c>
    </row>
    <row r="1566" spans="1:8" ht="29" x14ac:dyDescent="0.35">
      <c r="A1566" s="195">
        <v>11</v>
      </c>
      <c r="B1566" s="195">
        <v>18</v>
      </c>
      <c r="C1566" s="195" t="s">
        <v>2034</v>
      </c>
      <c r="D1566" s="64">
        <v>640</v>
      </c>
      <c r="E1566" s="195" t="s">
        <v>373</v>
      </c>
      <c r="F1566" s="71" t="s">
        <v>367</v>
      </c>
      <c r="G1566" s="71" t="s">
        <v>2033</v>
      </c>
      <c r="H1566" s="71" t="s">
        <v>2007</v>
      </c>
    </row>
    <row r="1567" spans="1:8" ht="43.5" x14ac:dyDescent="0.35">
      <c r="A1567" s="195">
        <v>11</v>
      </c>
      <c r="B1567" s="195">
        <v>19</v>
      </c>
      <c r="C1567" s="195" t="s">
        <v>2035</v>
      </c>
      <c r="D1567" s="64">
        <v>3945</v>
      </c>
      <c r="E1567" s="195" t="s">
        <v>373</v>
      </c>
      <c r="F1567" s="71" t="s">
        <v>367</v>
      </c>
      <c r="G1567" s="71" t="s">
        <v>2033</v>
      </c>
      <c r="H1567" s="71" t="s">
        <v>2009</v>
      </c>
    </row>
    <row r="1568" spans="1:8" ht="43.5" x14ac:dyDescent="0.35">
      <c r="A1568" s="195">
        <v>11</v>
      </c>
      <c r="B1568" s="195">
        <v>20</v>
      </c>
      <c r="C1568" s="195" t="s">
        <v>2036</v>
      </c>
      <c r="D1568" s="64">
        <v>7530</v>
      </c>
      <c r="E1568" s="195" t="s">
        <v>373</v>
      </c>
      <c r="F1568" s="71" t="s">
        <v>367</v>
      </c>
      <c r="G1568" s="71" t="s">
        <v>2033</v>
      </c>
      <c r="H1568" s="71" t="s">
        <v>2011</v>
      </c>
    </row>
    <row r="1569" spans="1:8" ht="43.5" x14ac:dyDescent="0.35">
      <c r="A1569" s="195">
        <v>11</v>
      </c>
      <c r="B1569" s="195">
        <v>21</v>
      </c>
      <c r="C1569" s="195" t="s">
        <v>2037</v>
      </c>
      <c r="D1569" s="64">
        <v>8560</v>
      </c>
      <c r="E1569" s="195" t="s">
        <v>373</v>
      </c>
      <c r="F1569" s="71" t="s">
        <v>367</v>
      </c>
      <c r="G1569" s="71" t="s">
        <v>2033</v>
      </c>
      <c r="H1569" s="71" t="s">
        <v>2013</v>
      </c>
    </row>
    <row r="1570" spans="1:8" ht="43.5" x14ac:dyDescent="0.35">
      <c r="A1570" s="195">
        <v>11</v>
      </c>
      <c r="B1570" s="195">
        <v>22</v>
      </c>
      <c r="C1570" s="195" t="s">
        <v>2038</v>
      </c>
      <c r="D1570" s="64">
        <v>10350</v>
      </c>
      <c r="E1570" s="195" t="s">
        <v>373</v>
      </c>
      <c r="F1570" s="71" t="s">
        <v>367</v>
      </c>
      <c r="G1570" s="71" t="s">
        <v>2033</v>
      </c>
      <c r="H1570" s="71" t="s">
        <v>2015</v>
      </c>
    </row>
    <row r="1571" spans="1:8" ht="43.5" x14ac:dyDescent="0.35">
      <c r="A1571" s="195">
        <v>11</v>
      </c>
      <c r="B1571" s="195">
        <v>23</v>
      </c>
      <c r="C1571" s="195" t="s">
        <v>2039</v>
      </c>
      <c r="D1571" s="64">
        <v>5635</v>
      </c>
      <c r="E1571" s="195" t="s">
        <v>373</v>
      </c>
      <c r="F1571" s="71" t="s">
        <v>367</v>
      </c>
      <c r="G1571" s="71" t="s">
        <v>2033</v>
      </c>
      <c r="H1571" s="71" t="s">
        <v>2017</v>
      </c>
    </row>
    <row r="1572" spans="1:8" ht="43.5" x14ac:dyDescent="0.35">
      <c r="A1572" s="195">
        <v>11</v>
      </c>
      <c r="B1572" s="195">
        <v>24</v>
      </c>
      <c r="C1572" s="195" t="s">
        <v>2040</v>
      </c>
      <c r="D1572" s="64">
        <v>18145</v>
      </c>
      <c r="E1572" s="195" t="s">
        <v>373</v>
      </c>
      <c r="F1572" s="71" t="s">
        <v>367</v>
      </c>
      <c r="G1572" s="71" t="s">
        <v>2033</v>
      </c>
      <c r="H1572" s="71" t="s">
        <v>2019</v>
      </c>
    </row>
    <row r="1573" spans="1:8" ht="43.5" x14ac:dyDescent="0.35">
      <c r="A1573" s="195">
        <v>11</v>
      </c>
      <c r="B1573" s="195">
        <v>25</v>
      </c>
      <c r="C1573" s="195" t="s">
        <v>2041</v>
      </c>
      <c r="D1573" s="64">
        <v>21960</v>
      </c>
      <c r="E1573" s="195" t="s">
        <v>373</v>
      </c>
      <c r="F1573" s="71" t="s">
        <v>367</v>
      </c>
      <c r="G1573" s="71" t="s">
        <v>2033</v>
      </c>
      <c r="H1573" s="71" t="s">
        <v>2021</v>
      </c>
    </row>
    <row r="1574" spans="1:8" ht="43.5" x14ac:dyDescent="0.35">
      <c r="A1574" s="195">
        <v>11</v>
      </c>
      <c r="B1574" s="195">
        <v>26</v>
      </c>
      <c r="C1574" s="195" t="s">
        <v>2042</v>
      </c>
      <c r="D1574" s="64">
        <v>6480</v>
      </c>
      <c r="E1574" s="195" t="s">
        <v>373</v>
      </c>
      <c r="F1574" s="71" t="s">
        <v>367</v>
      </c>
      <c r="G1574" s="71" t="s">
        <v>2033</v>
      </c>
      <c r="H1574" s="71" t="s">
        <v>2023</v>
      </c>
    </row>
    <row r="1575" spans="1:8" ht="43.5" x14ac:dyDescent="0.35">
      <c r="A1575" s="195">
        <v>11</v>
      </c>
      <c r="B1575" s="195">
        <v>27</v>
      </c>
      <c r="C1575" s="195" t="s">
        <v>2043</v>
      </c>
      <c r="D1575" s="64">
        <v>21040</v>
      </c>
      <c r="E1575" s="195" t="s">
        <v>373</v>
      </c>
      <c r="F1575" s="71" t="s">
        <v>367</v>
      </c>
      <c r="G1575" s="71" t="s">
        <v>2033</v>
      </c>
      <c r="H1575" s="71" t="s">
        <v>2025</v>
      </c>
    </row>
    <row r="1576" spans="1:8" ht="43.5" x14ac:dyDescent="0.35">
      <c r="A1576" s="195">
        <v>11</v>
      </c>
      <c r="B1576" s="195">
        <v>28</v>
      </c>
      <c r="C1576" s="195" t="s">
        <v>2044</v>
      </c>
      <c r="D1576" s="64">
        <v>7140</v>
      </c>
      <c r="E1576" s="195" t="s">
        <v>373</v>
      </c>
      <c r="F1576" s="71" t="s">
        <v>367</v>
      </c>
      <c r="G1576" s="71" t="s">
        <v>2033</v>
      </c>
      <c r="H1576" s="71" t="s">
        <v>2027</v>
      </c>
    </row>
    <row r="1577" spans="1:8" ht="43.5" x14ac:dyDescent="0.35">
      <c r="A1577" s="195">
        <v>11</v>
      </c>
      <c r="B1577" s="195">
        <v>29</v>
      </c>
      <c r="C1577" s="195" t="s">
        <v>2045</v>
      </c>
      <c r="D1577" s="64">
        <v>29540</v>
      </c>
      <c r="E1577" s="195" t="s">
        <v>373</v>
      </c>
      <c r="F1577" s="71" t="s">
        <v>367</v>
      </c>
      <c r="G1577" s="71" t="s">
        <v>2033</v>
      </c>
      <c r="H1577" s="71" t="s">
        <v>2029</v>
      </c>
    </row>
    <row r="1578" spans="1:8" ht="29" x14ac:dyDescent="0.35">
      <c r="A1578" s="195">
        <v>11</v>
      </c>
      <c r="B1578" s="195">
        <v>30</v>
      </c>
      <c r="C1578" s="195" t="s">
        <v>2046</v>
      </c>
      <c r="D1578" s="64">
        <v>155855</v>
      </c>
      <c r="E1578" s="195" t="s">
        <v>373</v>
      </c>
      <c r="F1578" s="71" t="s">
        <v>367</v>
      </c>
      <c r="G1578" s="71" t="s">
        <v>2033</v>
      </c>
      <c r="H1578" s="71" t="s">
        <v>2031</v>
      </c>
    </row>
    <row r="1579" spans="1:8" ht="43.5" x14ac:dyDescent="0.35">
      <c r="A1579" s="195">
        <v>11</v>
      </c>
      <c r="B1579" s="195">
        <v>31</v>
      </c>
      <c r="C1579" s="195" t="s">
        <v>2047</v>
      </c>
      <c r="D1579" s="64">
        <v>4550</v>
      </c>
      <c r="E1579" s="195" t="s">
        <v>366</v>
      </c>
      <c r="F1579" s="71" t="s">
        <v>367</v>
      </c>
      <c r="G1579" s="71" t="s">
        <v>2048</v>
      </c>
      <c r="H1579" s="71" t="s">
        <v>363</v>
      </c>
    </row>
    <row r="1580" spans="1:8" ht="43.5" x14ac:dyDescent="0.35">
      <c r="A1580" s="195">
        <v>11</v>
      </c>
      <c r="B1580" s="195">
        <v>32</v>
      </c>
      <c r="C1580" s="195" t="s">
        <v>2049</v>
      </c>
      <c r="D1580" s="64">
        <v>4550</v>
      </c>
      <c r="E1580" s="195" t="s">
        <v>373</v>
      </c>
      <c r="F1580" s="71" t="s">
        <v>367</v>
      </c>
      <c r="G1580" s="71" t="s">
        <v>2048</v>
      </c>
      <c r="H1580" s="71" t="s">
        <v>2007</v>
      </c>
    </row>
    <row r="1581" spans="1:8" ht="43.5" x14ac:dyDescent="0.35">
      <c r="A1581" s="195">
        <v>11</v>
      </c>
      <c r="B1581" s="195">
        <v>33</v>
      </c>
      <c r="C1581" s="195" t="s">
        <v>2050</v>
      </c>
      <c r="D1581" s="195">
        <v>0</v>
      </c>
      <c r="E1581" s="195" t="s">
        <v>373</v>
      </c>
      <c r="F1581" s="71" t="s">
        <v>367</v>
      </c>
      <c r="G1581" s="71" t="s">
        <v>2048</v>
      </c>
      <c r="H1581" s="71" t="s">
        <v>2009</v>
      </c>
    </row>
    <row r="1582" spans="1:8" ht="43.5" x14ac:dyDescent="0.35">
      <c r="A1582" s="195">
        <v>11</v>
      </c>
      <c r="B1582" s="195">
        <v>34</v>
      </c>
      <c r="C1582" s="195" t="s">
        <v>2051</v>
      </c>
      <c r="D1582" s="195">
        <v>0</v>
      </c>
      <c r="E1582" s="195" t="s">
        <v>373</v>
      </c>
      <c r="F1582" s="71" t="s">
        <v>367</v>
      </c>
      <c r="G1582" s="71" t="s">
        <v>2048</v>
      </c>
      <c r="H1582" s="71" t="s">
        <v>2011</v>
      </c>
    </row>
    <row r="1583" spans="1:8" ht="43.5" x14ac:dyDescent="0.35">
      <c r="A1583" s="195">
        <v>11</v>
      </c>
      <c r="B1583" s="195">
        <v>35</v>
      </c>
      <c r="C1583" s="195" t="s">
        <v>2052</v>
      </c>
      <c r="D1583" s="195">
        <v>0</v>
      </c>
      <c r="E1583" s="195" t="s">
        <v>373</v>
      </c>
      <c r="F1583" s="71" t="s">
        <v>367</v>
      </c>
      <c r="G1583" s="71" t="s">
        <v>2048</v>
      </c>
      <c r="H1583" s="71" t="s">
        <v>2013</v>
      </c>
    </row>
    <row r="1584" spans="1:8" ht="43.5" x14ac:dyDescent="0.35">
      <c r="A1584" s="195">
        <v>11</v>
      </c>
      <c r="B1584" s="195">
        <v>36</v>
      </c>
      <c r="C1584" s="195" t="s">
        <v>2053</v>
      </c>
      <c r="D1584" s="195">
        <v>0</v>
      </c>
      <c r="E1584" s="195" t="s">
        <v>373</v>
      </c>
      <c r="F1584" s="71" t="s">
        <v>367</v>
      </c>
      <c r="G1584" s="71" t="s">
        <v>2048</v>
      </c>
      <c r="H1584" s="71" t="s">
        <v>2015</v>
      </c>
    </row>
    <row r="1585" spans="1:8" ht="43.5" x14ac:dyDescent="0.35">
      <c r="A1585" s="195">
        <v>11</v>
      </c>
      <c r="B1585" s="195">
        <v>37</v>
      </c>
      <c r="C1585" s="195" t="s">
        <v>2054</v>
      </c>
      <c r="D1585" s="195">
        <v>0</v>
      </c>
      <c r="E1585" s="195" t="s">
        <v>373</v>
      </c>
      <c r="F1585" s="71" t="s">
        <v>367</v>
      </c>
      <c r="G1585" s="71" t="s">
        <v>2048</v>
      </c>
      <c r="H1585" s="71" t="s">
        <v>2017</v>
      </c>
    </row>
    <row r="1586" spans="1:8" ht="43.5" x14ac:dyDescent="0.35">
      <c r="A1586" s="195">
        <v>11</v>
      </c>
      <c r="B1586" s="195">
        <v>38</v>
      </c>
      <c r="C1586" s="195" t="s">
        <v>2055</v>
      </c>
      <c r="D1586" s="195">
        <v>0</v>
      </c>
      <c r="E1586" s="195" t="s">
        <v>373</v>
      </c>
      <c r="F1586" s="71" t="s">
        <v>367</v>
      </c>
      <c r="G1586" s="71" t="s">
        <v>2048</v>
      </c>
      <c r="H1586" s="71" t="s">
        <v>2019</v>
      </c>
    </row>
    <row r="1587" spans="1:8" ht="43.5" x14ac:dyDescent="0.35">
      <c r="A1587" s="195">
        <v>11</v>
      </c>
      <c r="B1587" s="195">
        <v>39</v>
      </c>
      <c r="C1587" s="195" t="s">
        <v>2056</v>
      </c>
      <c r="D1587" s="195">
        <v>0</v>
      </c>
      <c r="E1587" s="195" t="s">
        <v>373</v>
      </c>
      <c r="F1587" s="71" t="s">
        <v>367</v>
      </c>
      <c r="G1587" s="71" t="s">
        <v>2048</v>
      </c>
      <c r="H1587" s="71" t="s">
        <v>2021</v>
      </c>
    </row>
    <row r="1588" spans="1:8" ht="43.5" x14ac:dyDescent="0.35">
      <c r="A1588" s="195">
        <v>11</v>
      </c>
      <c r="B1588" s="195">
        <v>40</v>
      </c>
      <c r="C1588" s="195" t="s">
        <v>2057</v>
      </c>
      <c r="D1588" s="195">
        <v>0</v>
      </c>
      <c r="E1588" s="195" t="s">
        <v>373</v>
      </c>
      <c r="F1588" s="71" t="s">
        <v>367</v>
      </c>
      <c r="G1588" s="71" t="s">
        <v>2048</v>
      </c>
      <c r="H1588" s="71" t="s">
        <v>2023</v>
      </c>
    </row>
    <row r="1589" spans="1:8" ht="43.5" x14ac:dyDescent="0.35">
      <c r="A1589" s="195">
        <v>11</v>
      </c>
      <c r="B1589" s="195">
        <v>41</v>
      </c>
      <c r="C1589" s="195" t="s">
        <v>2058</v>
      </c>
      <c r="D1589" s="195">
        <v>0</v>
      </c>
      <c r="E1589" s="195" t="s">
        <v>373</v>
      </c>
      <c r="F1589" s="71" t="s">
        <v>367</v>
      </c>
      <c r="G1589" s="71" t="s">
        <v>2048</v>
      </c>
      <c r="H1589" s="71" t="s">
        <v>2025</v>
      </c>
    </row>
    <row r="1590" spans="1:8" ht="43.5" x14ac:dyDescent="0.35">
      <c r="A1590" s="195">
        <v>11</v>
      </c>
      <c r="B1590" s="195">
        <v>42</v>
      </c>
      <c r="C1590" s="195" t="s">
        <v>2059</v>
      </c>
      <c r="D1590" s="195">
        <v>0</v>
      </c>
      <c r="E1590" s="195" t="s">
        <v>373</v>
      </c>
      <c r="F1590" s="71" t="s">
        <v>367</v>
      </c>
      <c r="G1590" s="71" t="s">
        <v>2048</v>
      </c>
      <c r="H1590" s="71" t="s">
        <v>2027</v>
      </c>
    </row>
    <row r="1591" spans="1:8" ht="43.5" x14ac:dyDescent="0.35">
      <c r="A1591" s="195">
        <v>11</v>
      </c>
      <c r="B1591" s="195">
        <v>43</v>
      </c>
      <c r="C1591" s="195" t="s">
        <v>2060</v>
      </c>
      <c r="D1591" s="195">
        <v>0</v>
      </c>
      <c r="E1591" s="195" t="s">
        <v>373</v>
      </c>
      <c r="F1591" s="71" t="s">
        <v>367</v>
      </c>
      <c r="G1591" s="71" t="s">
        <v>2048</v>
      </c>
      <c r="H1591" s="71" t="s">
        <v>2029</v>
      </c>
    </row>
    <row r="1592" spans="1:8" ht="43.5" x14ac:dyDescent="0.35">
      <c r="A1592" s="195">
        <v>11</v>
      </c>
      <c r="B1592" s="195">
        <v>44</v>
      </c>
      <c r="C1592" s="195" t="s">
        <v>2061</v>
      </c>
      <c r="D1592" s="195">
        <v>0</v>
      </c>
      <c r="E1592" s="195" t="s">
        <v>373</v>
      </c>
      <c r="F1592" s="71" t="s">
        <v>367</v>
      </c>
      <c r="G1592" s="71" t="s">
        <v>2048</v>
      </c>
      <c r="H1592" s="71" t="s">
        <v>2031</v>
      </c>
    </row>
    <row r="1593" spans="1:8" x14ac:dyDescent="0.35">
      <c r="A1593" s="195">
        <v>11</v>
      </c>
      <c r="B1593" s="195">
        <v>45</v>
      </c>
      <c r="C1593" s="195" t="s">
        <v>2062</v>
      </c>
      <c r="D1593" s="64">
        <v>582690</v>
      </c>
      <c r="E1593" s="195" t="s">
        <v>366</v>
      </c>
      <c r="F1593" s="71" t="s">
        <v>508</v>
      </c>
      <c r="G1593" s="71" t="s">
        <v>362</v>
      </c>
      <c r="H1593" s="71" t="s">
        <v>363</v>
      </c>
    </row>
    <row r="1594" spans="1:8" ht="29" x14ac:dyDescent="0.35">
      <c r="A1594" s="195">
        <v>11</v>
      </c>
      <c r="B1594" s="195">
        <v>46</v>
      </c>
      <c r="C1594" s="195" t="s">
        <v>2063</v>
      </c>
      <c r="D1594" s="64">
        <v>288745</v>
      </c>
      <c r="E1594" s="195" t="s">
        <v>366</v>
      </c>
      <c r="F1594" s="71" t="s">
        <v>508</v>
      </c>
      <c r="G1594" s="71" t="s">
        <v>2005</v>
      </c>
      <c r="H1594" s="71" t="s">
        <v>363</v>
      </c>
    </row>
    <row r="1595" spans="1:8" ht="29" x14ac:dyDescent="0.35">
      <c r="A1595" s="195">
        <v>11</v>
      </c>
      <c r="B1595" s="195">
        <v>47</v>
      </c>
      <c r="C1595" s="195" t="s">
        <v>2064</v>
      </c>
      <c r="D1595" s="64">
        <v>92415</v>
      </c>
      <c r="E1595" s="195" t="s">
        <v>373</v>
      </c>
      <c r="F1595" s="71" t="s">
        <v>508</v>
      </c>
      <c r="G1595" s="71" t="s">
        <v>2005</v>
      </c>
      <c r="H1595" s="71" t="s">
        <v>2007</v>
      </c>
    </row>
    <row r="1596" spans="1:8" ht="43.5" x14ac:dyDescent="0.35">
      <c r="A1596" s="195">
        <v>11</v>
      </c>
      <c r="B1596" s="195">
        <v>48</v>
      </c>
      <c r="C1596" s="195" t="s">
        <v>2065</v>
      </c>
      <c r="D1596" s="64">
        <v>54855</v>
      </c>
      <c r="E1596" s="195" t="s">
        <v>373</v>
      </c>
      <c r="F1596" s="71" t="s">
        <v>508</v>
      </c>
      <c r="G1596" s="71" t="s">
        <v>2005</v>
      </c>
      <c r="H1596" s="71" t="s">
        <v>2009</v>
      </c>
    </row>
    <row r="1597" spans="1:8" ht="43.5" x14ac:dyDescent="0.35">
      <c r="A1597" s="195">
        <v>11</v>
      </c>
      <c r="B1597" s="195">
        <v>49</v>
      </c>
      <c r="C1597" s="195" t="s">
        <v>2066</v>
      </c>
      <c r="D1597" s="64">
        <v>46325</v>
      </c>
      <c r="E1597" s="195" t="s">
        <v>373</v>
      </c>
      <c r="F1597" s="71" t="s">
        <v>508</v>
      </c>
      <c r="G1597" s="71" t="s">
        <v>2005</v>
      </c>
      <c r="H1597" s="71" t="s">
        <v>2011</v>
      </c>
    </row>
    <row r="1598" spans="1:8" ht="43.5" x14ac:dyDescent="0.35">
      <c r="A1598" s="195">
        <v>11</v>
      </c>
      <c r="B1598" s="195">
        <v>50</v>
      </c>
      <c r="C1598" s="195" t="s">
        <v>2067</v>
      </c>
      <c r="D1598" s="64">
        <v>31410</v>
      </c>
      <c r="E1598" s="195" t="s">
        <v>373</v>
      </c>
      <c r="F1598" s="71" t="s">
        <v>508</v>
      </c>
      <c r="G1598" s="71" t="s">
        <v>2005</v>
      </c>
      <c r="H1598" s="71" t="s">
        <v>2013</v>
      </c>
    </row>
    <row r="1599" spans="1:8" ht="43.5" x14ac:dyDescent="0.35">
      <c r="A1599" s="195">
        <v>11</v>
      </c>
      <c r="B1599" s="195">
        <v>51</v>
      </c>
      <c r="C1599" s="195" t="s">
        <v>2068</v>
      </c>
      <c r="D1599" s="64">
        <v>19825</v>
      </c>
      <c r="E1599" s="195" t="s">
        <v>373</v>
      </c>
      <c r="F1599" s="71" t="s">
        <v>508</v>
      </c>
      <c r="G1599" s="71" t="s">
        <v>2005</v>
      </c>
      <c r="H1599" s="71" t="s">
        <v>2015</v>
      </c>
    </row>
    <row r="1600" spans="1:8" ht="43.5" x14ac:dyDescent="0.35">
      <c r="A1600" s="195">
        <v>11</v>
      </c>
      <c r="B1600" s="195">
        <v>52</v>
      </c>
      <c r="C1600" s="195" t="s">
        <v>2069</v>
      </c>
      <c r="D1600" s="64">
        <v>7325</v>
      </c>
      <c r="E1600" s="195" t="s">
        <v>373</v>
      </c>
      <c r="F1600" s="71" t="s">
        <v>508</v>
      </c>
      <c r="G1600" s="71" t="s">
        <v>2005</v>
      </c>
      <c r="H1600" s="71" t="s">
        <v>2017</v>
      </c>
    </row>
    <row r="1601" spans="1:8" ht="43.5" x14ac:dyDescent="0.35">
      <c r="A1601" s="195">
        <v>11</v>
      </c>
      <c r="B1601" s="195">
        <v>53</v>
      </c>
      <c r="C1601" s="195" t="s">
        <v>2070</v>
      </c>
      <c r="D1601" s="64">
        <v>13385</v>
      </c>
      <c r="E1601" s="195" t="s">
        <v>373</v>
      </c>
      <c r="F1601" s="71" t="s">
        <v>508</v>
      </c>
      <c r="G1601" s="71" t="s">
        <v>2005</v>
      </c>
      <c r="H1601" s="71" t="s">
        <v>2019</v>
      </c>
    </row>
    <row r="1602" spans="1:8" ht="43.5" x14ac:dyDescent="0.35">
      <c r="A1602" s="195">
        <v>11</v>
      </c>
      <c r="B1602" s="195">
        <v>54</v>
      </c>
      <c r="C1602" s="195" t="s">
        <v>2071</v>
      </c>
      <c r="D1602" s="64">
        <v>8990</v>
      </c>
      <c r="E1602" s="195" t="s">
        <v>373</v>
      </c>
      <c r="F1602" s="71" t="s">
        <v>508</v>
      </c>
      <c r="G1602" s="71" t="s">
        <v>2005</v>
      </c>
      <c r="H1602" s="71" t="s">
        <v>2021</v>
      </c>
    </row>
    <row r="1603" spans="1:8" ht="43.5" x14ac:dyDescent="0.35">
      <c r="A1603" s="195">
        <v>11</v>
      </c>
      <c r="B1603" s="195">
        <v>55</v>
      </c>
      <c r="C1603" s="195" t="s">
        <v>2072</v>
      </c>
      <c r="D1603" s="64">
        <v>1995</v>
      </c>
      <c r="E1603" s="195" t="s">
        <v>373</v>
      </c>
      <c r="F1603" s="71" t="s">
        <v>508</v>
      </c>
      <c r="G1603" s="71" t="s">
        <v>2005</v>
      </c>
      <c r="H1603" s="71" t="s">
        <v>2023</v>
      </c>
    </row>
    <row r="1604" spans="1:8" ht="43.5" x14ac:dyDescent="0.35">
      <c r="A1604" s="195">
        <v>11</v>
      </c>
      <c r="B1604" s="195">
        <v>56</v>
      </c>
      <c r="C1604" s="195" t="s">
        <v>2073</v>
      </c>
      <c r="D1604" s="64">
        <v>4755</v>
      </c>
      <c r="E1604" s="195" t="s">
        <v>373</v>
      </c>
      <c r="F1604" s="71" t="s">
        <v>508</v>
      </c>
      <c r="G1604" s="71" t="s">
        <v>2005</v>
      </c>
      <c r="H1604" s="71" t="s">
        <v>2025</v>
      </c>
    </row>
    <row r="1605" spans="1:8" ht="43.5" x14ac:dyDescent="0.35">
      <c r="A1605" s="195">
        <v>11</v>
      </c>
      <c r="B1605" s="195">
        <v>57</v>
      </c>
      <c r="C1605" s="195" t="s">
        <v>2074</v>
      </c>
      <c r="D1605" s="64">
        <v>755</v>
      </c>
      <c r="E1605" s="195" t="s">
        <v>373</v>
      </c>
      <c r="F1605" s="71" t="s">
        <v>508</v>
      </c>
      <c r="G1605" s="71" t="s">
        <v>2005</v>
      </c>
      <c r="H1605" s="71" t="s">
        <v>2027</v>
      </c>
    </row>
    <row r="1606" spans="1:8" ht="43.5" x14ac:dyDescent="0.35">
      <c r="A1606" s="195">
        <v>11</v>
      </c>
      <c r="B1606" s="195">
        <v>58</v>
      </c>
      <c r="C1606" s="195" t="s">
        <v>2075</v>
      </c>
      <c r="D1606" s="64">
        <v>2625</v>
      </c>
      <c r="E1606" s="195" t="s">
        <v>373</v>
      </c>
      <c r="F1606" s="71" t="s">
        <v>508</v>
      </c>
      <c r="G1606" s="71" t="s">
        <v>2005</v>
      </c>
      <c r="H1606" s="71" t="s">
        <v>2029</v>
      </c>
    </row>
    <row r="1607" spans="1:8" ht="29" x14ac:dyDescent="0.35">
      <c r="A1607" s="195">
        <v>11</v>
      </c>
      <c r="B1607" s="195">
        <v>59</v>
      </c>
      <c r="C1607" s="195" t="s">
        <v>2076</v>
      </c>
      <c r="D1607" s="64">
        <v>4090</v>
      </c>
      <c r="E1607" s="195" t="s">
        <v>373</v>
      </c>
      <c r="F1607" s="71" t="s">
        <v>508</v>
      </c>
      <c r="G1607" s="71" t="s">
        <v>2005</v>
      </c>
      <c r="H1607" s="71" t="s">
        <v>2031</v>
      </c>
    </row>
    <row r="1608" spans="1:8" ht="29" x14ac:dyDescent="0.35">
      <c r="A1608" s="195">
        <v>11</v>
      </c>
      <c r="B1608" s="195">
        <v>60</v>
      </c>
      <c r="C1608" s="195" t="s">
        <v>2077</v>
      </c>
      <c r="D1608" s="64">
        <v>272635</v>
      </c>
      <c r="E1608" s="195" t="s">
        <v>366</v>
      </c>
      <c r="F1608" s="71" t="s">
        <v>508</v>
      </c>
      <c r="G1608" s="71" t="s">
        <v>2033</v>
      </c>
      <c r="H1608" s="71" t="s">
        <v>363</v>
      </c>
    </row>
    <row r="1609" spans="1:8" ht="29" x14ac:dyDescent="0.35">
      <c r="A1609" s="195">
        <v>11</v>
      </c>
      <c r="B1609" s="195">
        <v>61</v>
      </c>
      <c r="C1609" s="195" t="s">
        <v>2078</v>
      </c>
      <c r="D1609" s="64">
        <v>14330</v>
      </c>
      <c r="E1609" s="195" t="s">
        <v>373</v>
      </c>
      <c r="F1609" s="71" t="s">
        <v>508</v>
      </c>
      <c r="G1609" s="71" t="s">
        <v>2033</v>
      </c>
      <c r="H1609" s="71" t="s">
        <v>2007</v>
      </c>
    </row>
    <row r="1610" spans="1:8" ht="43.5" x14ac:dyDescent="0.35">
      <c r="A1610" s="195">
        <v>11</v>
      </c>
      <c r="B1610" s="195">
        <v>62</v>
      </c>
      <c r="C1610" s="195" t="s">
        <v>2079</v>
      </c>
      <c r="D1610" s="64">
        <v>8535</v>
      </c>
      <c r="E1610" s="195" t="s">
        <v>373</v>
      </c>
      <c r="F1610" s="71" t="s">
        <v>508</v>
      </c>
      <c r="G1610" s="71" t="s">
        <v>2033</v>
      </c>
      <c r="H1610" s="71" t="s">
        <v>2009</v>
      </c>
    </row>
    <row r="1611" spans="1:8" ht="43.5" x14ac:dyDescent="0.35">
      <c r="A1611" s="195">
        <v>11</v>
      </c>
      <c r="B1611" s="195">
        <v>63</v>
      </c>
      <c r="C1611" s="195" t="s">
        <v>2080</v>
      </c>
      <c r="D1611" s="64">
        <v>8540</v>
      </c>
      <c r="E1611" s="195" t="s">
        <v>373</v>
      </c>
      <c r="F1611" s="71" t="s">
        <v>508</v>
      </c>
      <c r="G1611" s="71" t="s">
        <v>2033</v>
      </c>
      <c r="H1611" s="71" t="s">
        <v>2011</v>
      </c>
    </row>
    <row r="1612" spans="1:8" ht="43.5" x14ac:dyDescent="0.35">
      <c r="A1612" s="195">
        <v>11</v>
      </c>
      <c r="B1612" s="195">
        <v>64</v>
      </c>
      <c r="C1612" s="195" t="s">
        <v>2081</v>
      </c>
      <c r="D1612" s="64">
        <v>13110</v>
      </c>
      <c r="E1612" s="195" t="s">
        <v>373</v>
      </c>
      <c r="F1612" s="71" t="s">
        <v>508</v>
      </c>
      <c r="G1612" s="71" t="s">
        <v>2033</v>
      </c>
      <c r="H1612" s="71" t="s">
        <v>2013</v>
      </c>
    </row>
    <row r="1613" spans="1:8" ht="43.5" x14ac:dyDescent="0.35">
      <c r="A1613" s="195">
        <v>11</v>
      </c>
      <c r="B1613" s="195">
        <v>65</v>
      </c>
      <c r="C1613" s="195" t="s">
        <v>2082</v>
      </c>
      <c r="D1613" s="64">
        <v>16140</v>
      </c>
      <c r="E1613" s="195" t="s">
        <v>373</v>
      </c>
      <c r="F1613" s="71" t="s">
        <v>508</v>
      </c>
      <c r="G1613" s="71" t="s">
        <v>2033</v>
      </c>
      <c r="H1613" s="71" t="s">
        <v>2015</v>
      </c>
    </row>
    <row r="1614" spans="1:8" ht="43.5" x14ac:dyDescent="0.35">
      <c r="A1614" s="195">
        <v>11</v>
      </c>
      <c r="B1614" s="195">
        <v>66</v>
      </c>
      <c r="C1614" s="195" t="s">
        <v>2083</v>
      </c>
      <c r="D1614" s="64">
        <v>10670</v>
      </c>
      <c r="E1614" s="195" t="s">
        <v>373</v>
      </c>
      <c r="F1614" s="71" t="s">
        <v>508</v>
      </c>
      <c r="G1614" s="71" t="s">
        <v>2033</v>
      </c>
      <c r="H1614" s="71" t="s">
        <v>2017</v>
      </c>
    </row>
    <row r="1615" spans="1:8" ht="43.5" x14ac:dyDescent="0.35">
      <c r="A1615" s="195">
        <v>11</v>
      </c>
      <c r="B1615" s="195">
        <v>67</v>
      </c>
      <c r="C1615" s="195" t="s">
        <v>2084</v>
      </c>
      <c r="D1615" s="64">
        <v>32040</v>
      </c>
      <c r="E1615" s="195" t="s">
        <v>373</v>
      </c>
      <c r="F1615" s="71" t="s">
        <v>508</v>
      </c>
      <c r="G1615" s="71" t="s">
        <v>2033</v>
      </c>
      <c r="H1615" s="71" t="s">
        <v>2019</v>
      </c>
    </row>
    <row r="1616" spans="1:8" ht="43.5" x14ac:dyDescent="0.35">
      <c r="A1616" s="195">
        <v>11</v>
      </c>
      <c r="B1616" s="195">
        <v>68</v>
      </c>
      <c r="C1616" s="195" t="s">
        <v>2085</v>
      </c>
      <c r="D1616" s="64">
        <v>27665</v>
      </c>
      <c r="E1616" s="195" t="s">
        <v>373</v>
      </c>
      <c r="F1616" s="71" t="s">
        <v>508</v>
      </c>
      <c r="G1616" s="71" t="s">
        <v>2033</v>
      </c>
      <c r="H1616" s="71" t="s">
        <v>2021</v>
      </c>
    </row>
    <row r="1617" spans="1:8" ht="43.5" x14ac:dyDescent="0.35">
      <c r="A1617" s="195">
        <v>11</v>
      </c>
      <c r="B1617" s="195">
        <v>69</v>
      </c>
      <c r="C1617" s="195" t="s">
        <v>2086</v>
      </c>
      <c r="D1617" s="64">
        <v>7040</v>
      </c>
      <c r="E1617" s="195" t="s">
        <v>373</v>
      </c>
      <c r="F1617" s="71" t="s">
        <v>508</v>
      </c>
      <c r="G1617" s="71" t="s">
        <v>2033</v>
      </c>
      <c r="H1617" s="71" t="s">
        <v>2023</v>
      </c>
    </row>
    <row r="1618" spans="1:8" ht="43.5" x14ac:dyDescent="0.35">
      <c r="A1618" s="195">
        <v>11</v>
      </c>
      <c r="B1618" s="195">
        <v>70</v>
      </c>
      <c r="C1618" s="195" t="s">
        <v>2087</v>
      </c>
      <c r="D1618" s="64">
        <v>23680</v>
      </c>
      <c r="E1618" s="195" t="s">
        <v>373</v>
      </c>
      <c r="F1618" s="71" t="s">
        <v>508</v>
      </c>
      <c r="G1618" s="71" t="s">
        <v>2033</v>
      </c>
      <c r="H1618" s="71" t="s">
        <v>2025</v>
      </c>
    </row>
    <row r="1619" spans="1:8" ht="43.5" x14ac:dyDescent="0.35">
      <c r="A1619" s="195">
        <v>11</v>
      </c>
      <c r="B1619" s="195">
        <v>71</v>
      </c>
      <c r="C1619" s="195" t="s">
        <v>2088</v>
      </c>
      <c r="D1619" s="64">
        <v>6115</v>
      </c>
      <c r="E1619" s="195" t="s">
        <v>373</v>
      </c>
      <c r="F1619" s="71" t="s">
        <v>508</v>
      </c>
      <c r="G1619" s="71" t="s">
        <v>2033</v>
      </c>
      <c r="H1619" s="71" t="s">
        <v>2027</v>
      </c>
    </row>
    <row r="1620" spans="1:8" ht="43.5" x14ac:dyDescent="0.35">
      <c r="A1620" s="195">
        <v>11</v>
      </c>
      <c r="B1620" s="195">
        <v>72</v>
      </c>
      <c r="C1620" s="195" t="s">
        <v>2089</v>
      </c>
      <c r="D1620" s="64">
        <v>25515</v>
      </c>
      <c r="E1620" s="195" t="s">
        <v>373</v>
      </c>
      <c r="F1620" s="71" t="s">
        <v>508</v>
      </c>
      <c r="G1620" s="71" t="s">
        <v>2033</v>
      </c>
      <c r="H1620" s="71" t="s">
        <v>2029</v>
      </c>
    </row>
    <row r="1621" spans="1:8" ht="29" x14ac:dyDescent="0.35">
      <c r="A1621" s="195">
        <v>11</v>
      </c>
      <c r="B1621" s="195">
        <v>73</v>
      </c>
      <c r="C1621" s="195" t="s">
        <v>2090</v>
      </c>
      <c r="D1621" s="64">
        <v>79255</v>
      </c>
      <c r="E1621" s="195" t="s">
        <v>373</v>
      </c>
      <c r="F1621" s="71" t="s">
        <v>508</v>
      </c>
      <c r="G1621" s="71" t="s">
        <v>2033</v>
      </c>
      <c r="H1621" s="71" t="s">
        <v>2031</v>
      </c>
    </row>
    <row r="1622" spans="1:8" ht="43.5" x14ac:dyDescent="0.35">
      <c r="A1622" s="195">
        <v>11</v>
      </c>
      <c r="B1622" s="195">
        <v>74</v>
      </c>
      <c r="C1622" s="195" t="s">
        <v>2091</v>
      </c>
      <c r="D1622" s="64">
        <v>21310</v>
      </c>
      <c r="E1622" s="195" t="s">
        <v>366</v>
      </c>
      <c r="F1622" s="71" t="s">
        <v>508</v>
      </c>
      <c r="G1622" s="71" t="s">
        <v>2048</v>
      </c>
      <c r="H1622" s="71" t="s">
        <v>363</v>
      </c>
    </row>
    <row r="1623" spans="1:8" ht="43.5" x14ac:dyDescent="0.35">
      <c r="A1623" s="195">
        <v>11</v>
      </c>
      <c r="B1623" s="195">
        <v>75</v>
      </c>
      <c r="C1623" s="195" t="s">
        <v>2092</v>
      </c>
      <c r="D1623" s="64">
        <v>21310</v>
      </c>
      <c r="E1623" s="195" t="s">
        <v>373</v>
      </c>
      <c r="F1623" s="71" t="s">
        <v>508</v>
      </c>
      <c r="G1623" s="71" t="s">
        <v>2048</v>
      </c>
      <c r="H1623" s="71" t="s">
        <v>2007</v>
      </c>
    </row>
    <row r="1624" spans="1:8" ht="43.5" x14ac:dyDescent="0.35">
      <c r="A1624" s="195">
        <v>11</v>
      </c>
      <c r="B1624" s="195">
        <v>76</v>
      </c>
      <c r="C1624" s="195" t="s">
        <v>2093</v>
      </c>
      <c r="D1624" s="195">
        <v>0</v>
      </c>
      <c r="E1624" s="195" t="s">
        <v>373</v>
      </c>
      <c r="F1624" s="71" t="s">
        <v>508</v>
      </c>
      <c r="G1624" s="71" t="s">
        <v>2048</v>
      </c>
      <c r="H1624" s="71" t="s">
        <v>2009</v>
      </c>
    </row>
    <row r="1625" spans="1:8" ht="43.5" x14ac:dyDescent="0.35">
      <c r="A1625" s="195">
        <v>11</v>
      </c>
      <c r="B1625" s="195">
        <v>77</v>
      </c>
      <c r="C1625" s="195" t="s">
        <v>2094</v>
      </c>
      <c r="D1625" s="195">
        <v>0</v>
      </c>
      <c r="E1625" s="195" t="s">
        <v>373</v>
      </c>
      <c r="F1625" s="71" t="s">
        <v>508</v>
      </c>
      <c r="G1625" s="71" t="s">
        <v>2048</v>
      </c>
      <c r="H1625" s="71" t="s">
        <v>2011</v>
      </c>
    </row>
    <row r="1626" spans="1:8" ht="43.5" x14ac:dyDescent="0.35">
      <c r="A1626" s="195">
        <v>11</v>
      </c>
      <c r="B1626" s="195">
        <v>78</v>
      </c>
      <c r="C1626" s="195" t="s">
        <v>2095</v>
      </c>
      <c r="D1626" s="195">
        <v>0</v>
      </c>
      <c r="E1626" s="195" t="s">
        <v>373</v>
      </c>
      <c r="F1626" s="71" t="s">
        <v>508</v>
      </c>
      <c r="G1626" s="71" t="s">
        <v>2048</v>
      </c>
      <c r="H1626" s="71" t="s">
        <v>2013</v>
      </c>
    </row>
    <row r="1627" spans="1:8" ht="43.5" x14ac:dyDescent="0.35">
      <c r="A1627" s="195">
        <v>11</v>
      </c>
      <c r="B1627" s="195">
        <v>79</v>
      </c>
      <c r="C1627" s="195" t="s">
        <v>2096</v>
      </c>
      <c r="D1627" s="195">
        <v>0</v>
      </c>
      <c r="E1627" s="195" t="s">
        <v>373</v>
      </c>
      <c r="F1627" s="71" t="s">
        <v>508</v>
      </c>
      <c r="G1627" s="71" t="s">
        <v>2048</v>
      </c>
      <c r="H1627" s="71" t="s">
        <v>2015</v>
      </c>
    </row>
    <row r="1628" spans="1:8" ht="43.5" x14ac:dyDescent="0.35">
      <c r="A1628" s="195">
        <v>11</v>
      </c>
      <c r="B1628" s="195">
        <v>80</v>
      </c>
      <c r="C1628" s="195" t="s">
        <v>2097</v>
      </c>
      <c r="D1628" s="195">
        <v>0</v>
      </c>
      <c r="E1628" s="195" t="s">
        <v>373</v>
      </c>
      <c r="F1628" s="71" t="s">
        <v>508</v>
      </c>
      <c r="G1628" s="71" t="s">
        <v>2048</v>
      </c>
      <c r="H1628" s="71" t="s">
        <v>2017</v>
      </c>
    </row>
    <row r="1629" spans="1:8" ht="43.5" x14ac:dyDescent="0.35">
      <c r="A1629" s="195">
        <v>11</v>
      </c>
      <c r="B1629" s="195">
        <v>81</v>
      </c>
      <c r="C1629" s="195" t="s">
        <v>2098</v>
      </c>
      <c r="D1629" s="195">
        <v>0</v>
      </c>
      <c r="E1629" s="195" t="s">
        <v>373</v>
      </c>
      <c r="F1629" s="71" t="s">
        <v>508</v>
      </c>
      <c r="G1629" s="71" t="s">
        <v>2048</v>
      </c>
      <c r="H1629" s="71" t="s">
        <v>2019</v>
      </c>
    </row>
    <row r="1630" spans="1:8" ht="43.5" x14ac:dyDescent="0.35">
      <c r="A1630" s="195">
        <v>11</v>
      </c>
      <c r="B1630" s="195">
        <v>82</v>
      </c>
      <c r="C1630" s="195" t="s">
        <v>2099</v>
      </c>
      <c r="D1630" s="195">
        <v>0</v>
      </c>
      <c r="E1630" s="195" t="s">
        <v>373</v>
      </c>
      <c r="F1630" s="71" t="s">
        <v>508</v>
      </c>
      <c r="G1630" s="71" t="s">
        <v>2048</v>
      </c>
      <c r="H1630" s="71" t="s">
        <v>2021</v>
      </c>
    </row>
    <row r="1631" spans="1:8" ht="43.5" x14ac:dyDescent="0.35">
      <c r="A1631" s="195">
        <v>11</v>
      </c>
      <c r="B1631" s="195">
        <v>83</v>
      </c>
      <c r="C1631" s="195" t="s">
        <v>2100</v>
      </c>
      <c r="D1631" s="195">
        <v>0</v>
      </c>
      <c r="E1631" s="195" t="s">
        <v>373</v>
      </c>
      <c r="F1631" s="71" t="s">
        <v>508</v>
      </c>
      <c r="G1631" s="71" t="s">
        <v>2048</v>
      </c>
      <c r="H1631" s="71" t="s">
        <v>2023</v>
      </c>
    </row>
    <row r="1632" spans="1:8" ht="43.5" x14ac:dyDescent="0.35">
      <c r="A1632" s="195">
        <v>11</v>
      </c>
      <c r="B1632" s="195">
        <v>84</v>
      </c>
      <c r="C1632" s="195" t="s">
        <v>2101</v>
      </c>
      <c r="D1632" s="195">
        <v>0</v>
      </c>
      <c r="E1632" s="195" t="s">
        <v>373</v>
      </c>
      <c r="F1632" s="71" t="s">
        <v>508</v>
      </c>
      <c r="G1632" s="71" t="s">
        <v>2048</v>
      </c>
      <c r="H1632" s="71" t="s">
        <v>2025</v>
      </c>
    </row>
    <row r="1633" spans="1:9" ht="43.5" x14ac:dyDescent="0.35">
      <c r="A1633" s="195">
        <v>11</v>
      </c>
      <c r="B1633" s="195">
        <v>85</v>
      </c>
      <c r="C1633" s="195" t="s">
        <v>2102</v>
      </c>
      <c r="D1633" s="195">
        <v>0</v>
      </c>
      <c r="E1633" s="195" t="s">
        <v>373</v>
      </c>
      <c r="F1633" s="71" t="s">
        <v>508</v>
      </c>
      <c r="G1633" s="71" t="s">
        <v>2048</v>
      </c>
      <c r="H1633" s="71" t="s">
        <v>2027</v>
      </c>
    </row>
    <row r="1634" spans="1:9" ht="43.5" x14ac:dyDescent="0.35">
      <c r="A1634" s="195">
        <v>11</v>
      </c>
      <c r="B1634" s="195">
        <v>86</v>
      </c>
      <c r="C1634" s="195" t="s">
        <v>2103</v>
      </c>
      <c r="D1634" s="195">
        <v>0</v>
      </c>
      <c r="E1634" s="195" t="s">
        <v>373</v>
      </c>
      <c r="F1634" s="71" t="s">
        <v>508</v>
      </c>
      <c r="G1634" s="71" t="s">
        <v>2048</v>
      </c>
      <c r="H1634" s="71" t="s">
        <v>2029</v>
      </c>
    </row>
    <row r="1635" spans="1:9" ht="43.5" x14ac:dyDescent="0.35">
      <c r="A1635" s="195">
        <v>11</v>
      </c>
      <c r="B1635" s="195">
        <v>87</v>
      </c>
      <c r="C1635" s="195" t="s">
        <v>2104</v>
      </c>
      <c r="D1635" s="195">
        <v>0</v>
      </c>
      <c r="E1635" s="195" t="s">
        <v>373</v>
      </c>
      <c r="F1635" s="71" t="s">
        <v>508</v>
      </c>
      <c r="G1635" s="71" t="s">
        <v>2048</v>
      </c>
      <c r="H1635" s="71" t="s">
        <v>2031</v>
      </c>
    </row>
    <row r="1636" spans="1:9" ht="29" x14ac:dyDescent="0.35">
      <c r="A1636" s="195">
        <v>12</v>
      </c>
      <c r="B1636" s="195">
        <v>1</v>
      </c>
      <c r="C1636" s="195" t="s">
        <v>2105</v>
      </c>
      <c r="D1636" s="64">
        <v>1042580</v>
      </c>
      <c r="E1636" s="195" t="s">
        <v>26</v>
      </c>
      <c r="F1636" s="71" t="s">
        <v>361</v>
      </c>
      <c r="G1636" s="71" t="s">
        <v>2106</v>
      </c>
      <c r="H1636" s="71" t="s">
        <v>363</v>
      </c>
      <c r="I1636" s="71" t="s">
        <v>1374</v>
      </c>
    </row>
    <row r="1637" spans="1:9" x14ac:dyDescent="0.35">
      <c r="A1637" s="195">
        <v>12</v>
      </c>
      <c r="B1637" s="195">
        <v>2</v>
      </c>
      <c r="C1637" s="195" t="s">
        <v>2107</v>
      </c>
      <c r="D1637" s="64">
        <v>459890</v>
      </c>
      <c r="E1637" s="195" t="s">
        <v>366</v>
      </c>
      <c r="F1637" s="71" t="s">
        <v>367</v>
      </c>
      <c r="G1637" s="71" t="s">
        <v>2106</v>
      </c>
      <c r="H1637" s="71" t="s">
        <v>363</v>
      </c>
      <c r="I1637" s="71" t="s">
        <v>1374</v>
      </c>
    </row>
    <row r="1638" spans="1:9" ht="29" x14ac:dyDescent="0.35">
      <c r="A1638" s="195">
        <v>12</v>
      </c>
      <c r="B1638" s="195">
        <v>3</v>
      </c>
      <c r="C1638" s="195" t="s">
        <v>2108</v>
      </c>
      <c r="D1638" s="64">
        <v>48300</v>
      </c>
      <c r="E1638" s="195" t="s">
        <v>366</v>
      </c>
      <c r="F1638" s="71" t="s">
        <v>367</v>
      </c>
      <c r="G1638" s="71" t="s">
        <v>2109</v>
      </c>
      <c r="H1638" s="71" t="s">
        <v>363</v>
      </c>
      <c r="I1638" s="71" t="s">
        <v>1374</v>
      </c>
    </row>
    <row r="1639" spans="1:9" ht="29" x14ac:dyDescent="0.35">
      <c r="A1639" s="195">
        <v>12</v>
      </c>
      <c r="B1639" s="195">
        <v>4</v>
      </c>
      <c r="C1639" s="195" t="s">
        <v>2110</v>
      </c>
      <c r="D1639" s="64">
        <v>3830</v>
      </c>
      <c r="E1639" s="195" t="s">
        <v>366</v>
      </c>
      <c r="F1639" s="71" t="s">
        <v>367</v>
      </c>
      <c r="G1639" s="71" t="s">
        <v>2109</v>
      </c>
      <c r="H1639" s="71" t="s">
        <v>2111</v>
      </c>
      <c r="I1639" s="71" t="s">
        <v>1374</v>
      </c>
    </row>
    <row r="1640" spans="1:9" ht="29" x14ac:dyDescent="0.35">
      <c r="A1640" s="195">
        <v>12</v>
      </c>
      <c r="B1640" s="195">
        <v>5</v>
      </c>
      <c r="C1640" s="195" t="s">
        <v>2112</v>
      </c>
      <c r="D1640" s="64">
        <v>410</v>
      </c>
      <c r="E1640" s="195" t="s">
        <v>373</v>
      </c>
      <c r="F1640" s="71" t="s">
        <v>367</v>
      </c>
      <c r="G1640" s="71" t="s">
        <v>2109</v>
      </c>
      <c r="H1640" s="71" t="s">
        <v>2111</v>
      </c>
      <c r="I1640" s="71" t="s">
        <v>4177</v>
      </c>
    </row>
    <row r="1641" spans="1:9" ht="29" x14ac:dyDescent="0.35">
      <c r="A1641" s="195">
        <v>12</v>
      </c>
      <c r="B1641" s="195">
        <v>6</v>
      </c>
      <c r="C1641" s="195" t="s">
        <v>2113</v>
      </c>
      <c r="D1641" s="64">
        <v>410</v>
      </c>
      <c r="E1641" s="195" t="s">
        <v>373</v>
      </c>
      <c r="F1641" s="71" t="s">
        <v>367</v>
      </c>
      <c r="G1641" s="71" t="s">
        <v>2109</v>
      </c>
      <c r="H1641" s="71" t="s">
        <v>2111</v>
      </c>
      <c r="I1641" s="71" t="s">
        <v>4178</v>
      </c>
    </row>
    <row r="1642" spans="1:9" ht="29" x14ac:dyDescent="0.35">
      <c r="A1642" s="195">
        <v>12</v>
      </c>
      <c r="B1642" s="195">
        <v>7</v>
      </c>
      <c r="C1642" s="195" t="s">
        <v>2114</v>
      </c>
      <c r="D1642" s="64">
        <v>2650</v>
      </c>
      <c r="E1642" s="195" t="s">
        <v>373</v>
      </c>
      <c r="F1642" s="71" t="s">
        <v>367</v>
      </c>
      <c r="G1642" s="71" t="s">
        <v>2109</v>
      </c>
      <c r="H1642" s="71" t="s">
        <v>2111</v>
      </c>
      <c r="I1642" s="71" t="s">
        <v>4179</v>
      </c>
    </row>
    <row r="1643" spans="1:9" ht="29" x14ac:dyDescent="0.35">
      <c r="A1643" s="195">
        <v>12</v>
      </c>
      <c r="B1643" s="195">
        <v>8</v>
      </c>
      <c r="C1643" s="195" t="s">
        <v>2115</v>
      </c>
      <c r="D1643" s="195">
        <v>360</v>
      </c>
      <c r="E1643" s="195" t="s">
        <v>373</v>
      </c>
      <c r="F1643" s="71" t="s">
        <v>367</v>
      </c>
      <c r="G1643" s="71" t="s">
        <v>2109</v>
      </c>
      <c r="H1643" s="71" t="s">
        <v>2111</v>
      </c>
      <c r="I1643" s="71" t="s">
        <v>1671</v>
      </c>
    </row>
    <row r="1644" spans="1:9" ht="29" x14ac:dyDescent="0.35">
      <c r="A1644" s="195">
        <v>12</v>
      </c>
      <c r="B1644" s="195">
        <v>9</v>
      </c>
      <c r="C1644" s="195" t="s">
        <v>2116</v>
      </c>
      <c r="D1644" s="64">
        <v>2895</v>
      </c>
      <c r="E1644" s="195" t="s">
        <v>366</v>
      </c>
      <c r="F1644" s="71" t="s">
        <v>367</v>
      </c>
      <c r="G1644" s="71" t="s">
        <v>2109</v>
      </c>
      <c r="H1644" s="71" t="s">
        <v>2117</v>
      </c>
      <c r="I1644" s="71" t="s">
        <v>1374</v>
      </c>
    </row>
    <row r="1645" spans="1:9" ht="29" x14ac:dyDescent="0.35">
      <c r="A1645" s="195">
        <v>12</v>
      </c>
      <c r="B1645" s="195">
        <v>10</v>
      </c>
      <c r="C1645" s="195" t="s">
        <v>2118</v>
      </c>
      <c r="D1645" s="64">
        <v>595</v>
      </c>
      <c r="E1645" s="195" t="s">
        <v>373</v>
      </c>
      <c r="F1645" s="71" t="s">
        <v>367</v>
      </c>
      <c r="G1645" s="71" t="s">
        <v>2109</v>
      </c>
      <c r="H1645" s="71" t="s">
        <v>2117</v>
      </c>
      <c r="I1645" s="71" t="s">
        <v>4177</v>
      </c>
    </row>
    <row r="1646" spans="1:9" ht="29" x14ac:dyDescent="0.35">
      <c r="A1646" s="195">
        <v>12</v>
      </c>
      <c r="B1646" s="195">
        <v>11</v>
      </c>
      <c r="C1646" s="195" t="s">
        <v>2119</v>
      </c>
      <c r="D1646" s="64">
        <v>850</v>
      </c>
      <c r="E1646" s="195" t="s">
        <v>373</v>
      </c>
      <c r="F1646" s="71" t="s">
        <v>367</v>
      </c>
      <c r="G1646" s="71" t="s">
        <v>2109</v>
      </c>
      <c r="H1646" s="71" t="s">
        <v>2117</v>
      </c>
      <c r="I1646" s="71" t="s">
        <v>4178</v>
      </c>
    </row>
    <row r="1647" spans="1:9" ht="29" x14ac:dyDescent="0.35">
      <c r="A1647" s="195">
        <v>12</v>
      </c>
      <c r="B1647" s="195">
        <v>12</v>
      </c>
      <c r="C1647" s="195" t="s">
        <v>2120</v>
      </c>
      <c r="D1647" s="64">
        <v>1445</v>
      </c>
      <c r="E1647" s="195" t="s">
        <v>373</v>
      </c>
      <c r="F1647" s="71" t="s">
        <v>367</v>
      </c>
      <c r="G1647" s="71" t="s">
        <v>2109</v>
      </c>
      <c r="H1647" s="71" t="s">
        <v>2117</v>
      </c>
      <c r="I1647" s="71" t="s">
        <v>4179</v>
      </c>
    </row>
    <row r="1648" spans="1:9" ht="29" x14ac:dyDescent="0.35">
      <c r="A1648" s="195">
        <v>12</v>
      </c>
      <c r="B1648" s="195">
        <v>13</v>
      </c>
      <c r="C1648" s="195" t="s">
        <v>2121</v>
      </c>
      <c r="D1648" s="195">
        <v>0</v>
      </c>
      <c r="E1648" s="195" t="s">
        <v>373</v>
      </c>
      <c r="F1648" s="71" t="s">
        <v>367</v>
      </c>
      <c r="G1648" s="71" t="s">
        <v>2109</v>
      </c>
      <c r="H1648" s="71" t="s">
        <v>2117</v>
      </c>
      <c r="I1648" s="71" t="s">
        <v>1671</v>
      </c>
    </row>
    <row r="1649" spans="1:9" ht="29" x14ac:dyDescent="0.35">
      <c r="A1649" s="195">
        <v>12</v>
      </c>
      <c r="B1649" s="195">
        <v>14</v>
      </c>
      <c r="C1649" s="195" t="s">
        <v>2122</v>
      </c>
      <c r="D1649" s="64">
        <v>5705</v>
      </c>
      <c r="E1649" s="195" t="s">
        <v>366</v>
      </c>
      <c r="F1649" s="71" t="s">
        <v>367</v>
      </c>
      <c r="G1649" s="71" t="s">
        <v>2109</v>
      </c>
      <c r="H1649" s="71" t="s">
        <v>2123</v>
      </c>
      <c r="I1649" s="71" t="s">
        <v>1374</v>
      </c>
    </row>
    <row r="1650" spans="1:9" ht="29" x14ac:dyDescent="0.35">
      <c r="A1650" s="195">
        <v>12</v>
      </c>
      <c r="B1650" s="195">
        <v>15</v>
      </c>
      <c r="C1650" s="195" t="s">
        <v>2124</v>
      </c>
      <c r="D1650" s="64">
        <v>2410</v>
      </c>
      <c r="E1650" s="195" t="s">
        <v>373</v>
      </c>
      <c r="F1650" s="71" t="s">
        <v>367</v>
      </c>
      <c r="G1650" s="71" t="s">
        <v>2109</v>
      </c>
      <c r="H1650" s="71" t="s">
        <v>2123</v>
      </c>
      <c r="I1650" s="71" t="s">
        <v>4177</v>
      </c>
    </row>
    <row r="1651" spans="1:9" ht="29" x14ac:dyDescent="0.35">
      <c r="A1651" s="195">
        <v>12</v>
      </c>
      <c r="B1651" s="195">
        <v>16</v>
      </c>
      <c r="C1651" s="195" t="s">
        <v>2125</v>
      </c>
      <c r="D1651" s="64">
        <v>2340</v>
      </c>
      <c r="E1651" s="195" t="s">
        <v>373</v>
      </c>
      <c r="F1651" s="71" t="s">
        <v>367</v>
      </c>
      <c r="G1651" s="71" t="s">
        <v>2109</v>
      </c>
      <c r="H1651" s="71" t="s">
        <v>2123</v>
      </c>
      <c r="I1651" s="71" t="s">
        <v>4178</v>
      </c>
    </row>
    <row r="1652" spans="1:9" ht="29" x14ac:dyDescent="0.35">
      <c r="A1652" s="195">
        <v>12</v>
      </c>
      <c r="B1652" s="195">
        <v>17</v>
      </c>
      <c r="C1652" s="195" t="s">
        <v>2126</v>
      </c>
      <c r="D1652" s="64">
        <v>955</v>
      </c>
      <c r="E1652" s="195" t="s">
        <v>373</v>
      </c>
      <c r="F1652" s="71" t="s">
        <v>367</v>
      </c>
      <c r="G1652" s="71" t="s">
        <v>2109</v>
      </c>
      <c r="H1652" s="71" t="s">
        <v>2123</v>
      </c>
      <c r="I1652" s="71" t="s">
        <v>4179</v>
      </c>
    </row>
    <row r="1653" spans="1:9" ht="29" x14ac:dyDescent="0.35">
      <c r="A1653" s="195">
        <v>12</v>
      </c>
      <c r="B1653" s="195">
        <v>18</v>
      </c>
      <c r="C1653" s="195" t="s">
        <v>2127</v>
      </c>
      <c r="D1653" s="195">
        <v>0</v>
      </c>
      <c r="E1653" s="195" t="s">
        <v>373</v>
      </c>
      <c r="F1653" s="71" t="s">
        <v>367</v>
      </c>
      <c r="G1653" s="71" t="s">
        <v>2109</v>
      </c>
      <c r="H1653" s="71" t="s">
        <v>2123</v>
      </c>
      <c r="I1653" s="71" t="s">
        <v>1671</v>
      </c>
    </row>
    <row r="1654" spans="1:9" ht="29" x14ac:dyDescent="0.35">
      <c r="A1654" s="195">
        <v>12</v>
      </c>
      <c r="B1654" s="195">
        <v>19</v>
      </c>
      <c r="C1654" s="195" t="s">
        <v>2128</v>
      </c>
      <c r="D1654" s="64">
        <v>35875</v>
      </c>
      <c r="E1654" s="195" t="s">
        <v>366</v>
      </c>
      <c r="F1654" s="71" t="s">
        <v>367</v>
      </c>
      <c r="G1654" s="71" t="s">
        <v>2109</v>
      </c>
      <c r="H1654" s="71" t="s">
        <v>2129</v>
      </c>
      <c r="I1654" s="71" t="s">
        <v>1374</v>
      </c>
    </row>
    <row r="1655" spans="1:9" ht="29" x14ac:dyDescent="0.35">
      <c r="A1655" s="195">
        <v>12</v>
      </c>
      <c r="B1655" s="195">
        <v>20</v>
      </c>
      <c r="C1655" s="195" t="s">
        <v>2130</v>
      </c>
      <c r="D1655" s="64">
        <v>31925</v>
      </c>
      <c r="E1655" s="195" t="s">
        <v>373</v>
      </c>
      <c r="F1655" s="71" t="s">
        <v>367</v>
      </c>
      <c r="G1655" s="71" t="s">
        <v>2109</v>
      </c>
      <c r="H1655" s="71" t="s">
        <v>2129</v>
      </c>
      <c r="I1655" s="71" t="s">
        <v>4177</v>
      </c>
    </row>
    <row r="1656" spans="1:9" ht="29" x14ac:dyDescent="0.35">
      <c r="A1656" s="195">
        <v>12</v>
      </c>
      <c r="B1656" s="195">
        <v>21</v>
      </c>
      <c r="C1656" s="195" t="s">
        <v>2131</v>
      </c>
      <c r="D1656" s="64">
        <v>3345</v>
      </c>
      <c r="E1656" s="195" t="s">
        <v>373</v>
      </c>
      <c r="F1656" s="71" t="s">
        <v>367</v>
      </c>
      <c r="G1656" s="71" t="s">
        <v>2109</v>
      </c>
      <c r="H1656" s="71" t="s">
        <v>2129</v>
      </c>
      <c r="I1656" s="71" t="s">
        <v>4178</v>
      </c>
    </row>
    <row r="1657" spans="1:9" ht="29" x14ac:dyDescent="0.35">
      <c r="A1657" s="195">
        <v>12</v>
      </c>
      <c r="B1657" s="195">
        <v>22</v>
      </c>
      <c r="C1657" s="195" t="s">
        <v>2132</v>
      </c>
      <c r="D1657" s="64">
        <v>600</v>
      </c>
      <c r="E1657" s="195" t="s">
        <v>373</v>
      </c>
      <c r="F1657" s="71" t="s">
        <v>367</v>
      </c>
      <c r="G1657" s="71" t="s">
        <v>2109</v>
      </c>
      <c r="H1657" s="71" t="s">
        <v>2129</v>
      </c>
      <c r="I1657" s="71" t="s">
        <v>4179</v>
      </c>
    </row>
    <row r="1658" spans="1:9" ht="29" x14ac:dyDescent="0.35">
      <c r="A1658" s="195">
        <v>12</v>
      </c>
      <c r="B1658" s="195">
        <v>23</v>
      </c>
      <c r="C1658" s="195" t="s">
        <v>2133</v>
      </c>
      <c r="D1658" s="195">
        <v>0</v>
      </c>
      <c r="E1658" s="195" t="s">
        <v>373</v>
      </c>
      <c r="F1658" s="71" t="s">
        <v>367</v>
      </c>
      <c r="G1658" s="71" t="s">
        <v>2109</v>
      </c>
      <c r="H1658" s="71" t="s">
        <v>2129</v>
      </c>
      <c r="I1658" s="71" t="s">
        <v>1671</v>
      </c>
    </row>
    <row r="1659" spans="1:9" ht="29" x14ac:dyDescent="0.35">
      <c r="A1659" s="195">
        <v>12</v>
      </c>
      <c r="B1659" s="195">
        <v>24</v>
      </c>
      <c r="C1659" s="195" t="s">
        <v>2134</v>
      </c>
      <c r="D1659" s="64">
        <v>33715</v>
      </c>
      <c r="E1659" s="195" t="s">
        <v>366</v>
      </c>
      <c r="F1659" s="71" t="s">
        <v>367</v>
      </c>
      <c r="G1659" s="71" t="s">
        <v>2135</v>
      </c>
      <c r="H1659" s="71" t="s">
        <v>363</v>
      </c>
      <c r="I1659" s="71" t="s">
        <v>1374</v>
      </c>
    </row>
    <row r="1660" spans="1:9" ht="29" x14ac:dyDescent="0.35">
      <c r="A1660" s="195">
        <v>12</v>
      </c>
      <c r="B1660" s="195">
        <v>25</v>
      </c>
      <c r="C1660" s="195" t="s">
        <v>2136</v>
      </c>
      <c r="D1660" s="64">
        <v>4870</v>
      </c>
      <c r="E1660" s="195" t="s">
        <v>366</v>
      </c>
      <c r="F1660" s="71" t="s">
        <v>367</v>
      </c>
      <c r="G1660" s="71" t="s">
        <v>2135</v>
      </c>
      <c r="H1660" s="71" t="s">
        <v>2111</v>
      </c>
      <c r="I1660" s="71" t="s">
        <v>1374</v>
      </c>
    </row>
    <row r="1661" spans="1:9" ht="29" x14ac:dyDescent="0.35">
      <c r="A1661" s="195">
        <v>12</v>
      </c>
      <c r="B1661" s="195">
        <v>26</v>
      </c>
      <c r="C1661" s="195" t="s">
        <v>2137</v>
      </c>
      <c r="D1661" s="64">
        <v>905</v>
      </c>
      <c r="E1661" s="195" t="s">
        <v>373</v>
      </c>
      <c r="F1661" s="71" t="s">
        <v>367</v>
      </c>
      <c r="G1661" s="71" t="s">
        <v>2135</v>
      </c>
      <c r="H1661" s="71" t="s">
        <v>2111</v>
      </c>
      <c r="I1661" s="71" t="s">
        <v>4177</v>
      </c>
    </row>
    <row r="1662" spans="1:9" ht="29" x14ac:dyDescent="0.35">
      <c r="A1662" s="195">
        <v>12</v>
      </c>
      <c r="B1662" s="195">
        <v>27</v>
      </c>
      <c r="C1662" s="195" t="s">
        <v>2138</v>
      </c>
      <c r="D1662" s="64">
        <v>880</v>
      </c>
      <c r="E1662" s="195" t="s">
        <v>373</v>
      </c>
      <c r="F1662" s="71" t="s">
        <v>367</v>
      </c>
      <c r="G1662" s="71" t="s">
        <v>2135</v>
      </c>
      <c r="H1662" s="71" t="s">
        <v>2111</v>
      </c>
      <c r="I1662" s="71" t="s">
        <v>4178</v>
      </c>
    </row>
    <row r="1663" spans="1:9" ht="29" x14ac:dyDescent="0.35">
      <c r="A1663" s="195">
        <v>12</v>
      </c>
      <c r="B1663" s="195">
        <v>28</v>
      </c>
      <c r="C1663" s="195" t="s">
        <v>2139</v>
      </c>
      <c r="D1663" s="64">
        <v>2835</v>
      </c>
      <c r="E1663" s="195" t="s">
        <v>373</v>
      </c>
      <c r="F1663" s="71" t="s">
        <v>367</v>
      </c>
      <c r="G1663" s="71" t="s">
        <v>2135</v>
      </c>
      <c r="H1663" s="71" t="s">
        <v>2111</v>
      </c>
      <c r="I1663" s="71" t="s">
        <v>4179</v>
      </c>
    </row>
    <row r="1664" spans="1:9" ht="29" x14ac:dyDescent="0.35">
      <c r="A1664" s="195">
        <v>12</v>
      </c>
      <c r="B1664" s="195">
        <v>29</v>
      </c>
      <c r="C1664" s="195" t="s">
        <v>2140</v>
      </c>
      <c r="D1664" s="64">
        <v>245</v>
      </c>
      <c r="E1664" s="195" t="s">
        <v>373</v>
      </c>
      <c r="F1664" s="71" t="s">
        <v>367</v>
      </c>
      <c r="G1664" s="71" t="s">
        <v>2135</v>
      </c>
      <c r="H1664" s="71" t="s">
        <v>2111</v>
      </c>
      <c r="I1664" s="71" t="s">
        <v>1671</v>
      </c>
    </row>
    <row r="1665" spans="1:9" ht="29" x14ac:dyDescent="0.35">
      <c r="A1665" s="195">
        <v>12</v>
      </c>
      <c r="B1665" s="195">
        <v>30</v>
      </c>
      <c r="C1665" s="195" t="s">
        <v>2141</v>
      </c>
      <c r="D1665" s="64">
        <v>3595</v>
      </c>
      <c r="E1665" s="195" t="s">
        <v>366</v>
      </c>
      <c r="F1665" s="71" t="s">
        <v>367</v>
      </c>
      <c r="G1665" s="71" t="s">
        <v>2135</v>
      </c>
      <c r="H1665" s="71" t="s">
        <v>2117</v>
      </c>
      <c r="I1665" s="71" t="s">
        <v>1374</v>
      </c>
    </row>
    <row r="1666" spans="1:9" ht="29" x14ac:dyDescent="0.35">
      <c r="A1666" s="195">
        <v>12</v>
      </c>
      <c r="B1666" s="195">
        <v>31</v>
      </c>
      <c r="C1666" s="195" t="s">
        <v>2142</v>
      </c>
      <c r="D1666" s="64">
        <v>1510</v>
      </c>
      <c r="E1666" s="195" t="s">
        <v>373</v>
      </c>
      <c r="F1666" s="71" t="s">
        <v>367</v>
      </c>
      <c r="G1666" s="71" t="s">
        <v>2135</v>
      </c>
      <c r="H1666" s="71" t="s">
        <v>2117</v>
      </c>
      <c r="I1666" s="71" t="s">
        <v>4177</v>
      </c>
    </row>
    <row r="1667" spans="1:9" ht="29" x14ac:dyDescent="0.35">
      <c r="A1667" s="195">
        <v>12</v>
      </c>
      <c r="B1667" s="195">
        <v>32</v>
      </c>
      <c r="C1667" s="195" t="s">
        <v>2143</v>
      </c>
      <c r="D1667" s="64">
        <v>1125</v>
      </c>
      <c r="E1667" s="195" t="s">
        <v>373</v>
      </c>
      <c r="F1667" s="71" t="s">
        <v>367</v>
      </c>
      <c r="G1667" s="71" t="s">
        <v>2135</v>
      </c>
      <c r="H1667" s="71" t="s">
        <v>2117</v>
      </c>
      <c r="I1667" s="71" t="s">
        <v>4178</v>
      </c>
    </row>
    <row r="1668" spans="1:9" ht="29" x14ac:dyDescent="0.35">
      <c r="A1668" s="195">
        <v>12</v>
      </c>
      <c r="B1668" s="195">
        <v>33</v>
      </c>
      <c r="C1668" s="195" t="s">
        <v>2144</v>
      </c>
      <c r="D1668" s="64">
        <v>960</v>
      </c>
      <c r="E1668" s="195" t="s">
        <v>373</v>
      </c>
      <c r="F1668" s="71" t="s">
        <v>367</v>
      </c>
      <c r="G1668" s="71" t="s">
        <v>2135</v>
      </c>
      <c r="H1668" s="71" t="s">
        <v>2117</v>
      </c>
      <c r="I1668" s="71" t="s">
        <v>4179</v>
      </c>
    </row>
    <row r="1669" spans="1:9" ht="29" x14ac:dyDescent="0.35">
      <c r="A1669" s="195">
        <v>12</v>
      </c>
      <c r="B1669" s="195">
        <v>34</v>
      </c>
      <c r="C1669" s="195" t="s">
        <v>2145</v>
      </c>
      <c r="D1669" s="195">
        <v>0</v>
      </c>
      <c r="E1669" s="195" t="s">
        <v>373</v>
      </c>
      <c r="F1669" s="71" t="s">
        <v>367</v>
      </c>
      <c r="G1669" s="71" t="s">
        <v>2135</v>
      </c>
      <c r="H1669" s="71" t="s">
        <v>2117</v>
      </c>
      <c r="I1669" s="71" t="s">
        <v>1671</v>
      </c>
    </row>
    <row r="1670" spans="1:9" ht="29" x14ac:dyDescent="0.35">
      <c r="A1670" s="195">
        <v>12</v>
      </c>
      <c r="B1670" s="195">
        <v>35</v>
      </c>
      <c r="C1670" s="195" t="s">
        <v>2146</v>
      </c>
      <c r="D1670" s="64">
        <v>4700</v>
      </c>
      <c r="E1670" s="195" t="s">
        <v>366</v>
      </c>
      <c r="F1670" s="71" t="s">
        <v>367</v>
      </c>
      <c r="G1670" s="71" t="s">
        <v>2135</v>
      </c>
      <c r="H1670" s="71" t="s">
        <v>2123</v>
      </c>
      <c r="I1670" s="71" t="s">
        <v>1374</v>
      </c>
    </row>
    <row r="1671" spans="1:9" ht="29" x14ac:dyDescent="0.35">
      <c r="A1671" s="195">
        <v>12</v>
      </c>
      <c r="B1671" s="195">
        <v>36</v>
      </c>
      <c r="C1671" s="195" t="s">
        <v>2147</v>
      </c>
      <c r="D1671" s="64">
        <v>2985</v>
      </c>
      <c r="E1671" s="195" t="s">
        <v>373</v>
      </c>
      <c r="F1671" s="71" t="s">
        <v>367</v>
      </c>
      <c r="G1671" s="71" t="s">
        <v>2135</v>
      </c>
      <c r="H1671" s="71" t="s">
        <v>2123</v>
      </c>
      <c r="I1671" s="71" t="s">
        <v>4177</v>
      </c>
    </row>
    <row r="1672" spans="1:9" ht="29" x14ac:dyDescent="0.35">
      <c r="A1672" s="195">
        <v>12</v>
      </c>
      <c r="B1672" s="195">
        <v>37</v>
      </c>
      <c r="C1672" s="195" t="s">
        <v>2148</v>
      </c>
      <c r="D1672" s="64">
        <v>1325</v>
      </c>
      <c r="E1672" s="195" t="s">
        <v>373</v>
      </c>
      <c r="F1672" s="71" t="s">
        <v>367</v>
      </c>
      <c r="G1672" s="71" t="s">
        <v>2135</v>
      </c>
      <c r="H1672" s="71" t="s">
        <v>2123</v>
      </c>
      <c r="I1672" s="71" t="s">
        <v>4178</v>
      </c>
    </row>
    <row r="1673" spans="1:9" ht="29" x14ac:dyDescent="0.35">
      <c r="A1673" s="195">
        <v>12</v>
      </c>
      <c r="B1673" s="195">
        <v>38</v>
      </c>
      <c r="C1673" s="195" t="s">
        <v>2149</v>
      </c>
      <c r="D1673" s="64">
        <v>395</v>
      </c>
      <c r="E1673" s="195" t="s">
        <v>373</v>
      </c>
      <c r="F1673" s="71" t="s">
        <v>367</v>
      </c>
      <c r="G1673" s="71" t="s">
        <v>2135</v>
      </c>
      <c r="H1673" s="71" t="s">
        <v>2123</v>
      </c>
      <c r="I1673" s="71" t="s">
        <v>4179</v>
      </c>
    </row>
    <row r="1674" spans="1:9" ht="29" x14ac:dyDescent="0.35">
      <c r="A1674" s="195">
        <v>12</v>
      </c>
      <c r="B1674" s="195">
        <v>39</v>
      </c>
      <c r="C1674" s="195" t="s">
        <v>2150</v>
      </c>
      <c r="D1674" s="195">
        <v>0</v>
      </c>
      <c r="E1674" s="195" t="s">
        <v>373</v>
      </c>
      <c r="F1674" s="71" t="s">
        <v>367</v>
      </c>
      <c r="G1674" s="71" t="s">
        <v>2135</v>
      </c>
      <c r="H1674" s="71" t="s">
        <v>2123</v>
      </c>
      <c r="I1674" s="71" t="s">
        <v>1671</v>
      </c>
    </row>
    <row r="1675" spans="1:9" ht="29" x14ac:dyDescent="0.35">
      <c r="A1675" s="195">
        <v>12</v>
      </c>
      <c r="B1675" s="195">
        <v>40</v>
      </c>
      <c r="C1675" s="195" t="s">
        <v>2151</v>
      </c>
      <c r="D1675" s="64">
        <v>20545</v>
      </c>
      <c r="E1675" s="195" t="s">
        <v>366</v>
      </c>
      <c r="F1675" s="71" t="s">
        <v>367</v>
      </c>
      <c r="G1675" s="71" t="s">
        <v>2135</v>
      </c>
      <c r="H1675" s="71" t="s">
        <v>2129</v>
      </c>
      <c r="I1675" s="71" t="s">
        <v>1374</v>
      </c>
    </row>
    <row r="1676" spans="1:9" ht="29" x14ac:dyDescent="0.35">
      <c r="A1676" s="195">
        <v>12</v>
      </c>
      <c r="B1676" s="195">
        <v>41</v>
      </c>
      <c r="C1676" s="195" t="s">
        <v>2152</v>
      </c>
      <c r="D1676" s="64">
        <v>18810</v>
      </c>
      <c r="E1676" s="195" t="s">
        <v>373</v>
      </c>
      <c r="F1676" s="71" t="s">
        <v>367</v>
      </c>
      <c r="G1676" s="71" t="s">
        <v>2135</v>
      </c>
      <c r="H1676" s="71" t="s">
        <v>2129</v>
      </c>
      <c r="I1676" s="71" t="s">
        <v>4177</v>
      </c>
    </row>
    <row r="1677" spans="1:9" ht="29" x14ac:dyDescent="0.35">
      <c r="A1677" s="195">
        <v>12</v>
      </c>
      <c r="B1677" s="195">
        <v>42</v>
      </c>
      <c r="C1677" s="195" t="s">
        <v>2153</v>
      </c>
      <c r="D1677" s="64">
        <v>1560</v>
      </c>
      <c r="E1677" s="195" t="s">
        <v>373</v>
      </c>
      <c r="F1677" s="71" t="s">
        <v>367</v>
      </c>
      <c r="G1677" s="71" t="s">
        <v>2135</v>
      </c>
      <c r="H1677" s="71" t="s">
        <v>2129</v>
      </c>
      <c r="I1677" s="71" t="s">
        <v>4178</v>
      </c>
    </row>
    <row r="1678" spans="1:9" ht="29" x14ac:dyDescent="0.35">
      <c r="A1678" s="195">
        <v>12</v>
      </c>
      <c r="B1678" s="195">
        <v>43</v>
      </c>
      <c r="C1678" s="195" t="s">
        <v>2154</v>
      </c>
      <c r="D1678" s="195">
        <v>180</v>
      </c>
      <c r="E1678" s="195" t="s">
        <v>373</v>
      </c>
      <c r="F1678" s="71" t="s">
        <v>367</v>
      </c>
      <c r="G1678" s="71" t="s">
        <v>2135</v>
      </c>
      <c r="H1678" s="71" t="s">
        <v>2129</v>
      </c>
      <c r="I1678" s="71" t="s">
        <v>4179</v>
      </c>
    </row>
    <row r="1679" spans="1:9" ht="29" x14ac:dyDescent="0.35">
      <c r="A1679" s="195">
        <v>12</v>
      </c>
      <c r="B1679" s="195">
        <v>44</v>
      </c>
      <c r="C1679" s="195" t="s">
        <v>2155</v>
      </c>
      <c r="D1679" s="195">
        <v>0</v>
      </c>
      <c r="E1679" s="195" t="s">
        <v>373</v>
      </c>
      <c r="F1679" s="71" t="s">
        <v>367</v>
      </c>
      <c r="G1679" s="71" t="s">
        <v>2135</v>
      </c>
      <c r="H1679" s="71" t="s">
        <v>2129</v>
      </c>
      <c r="I1679" s="71" t="s">
        <v>1671</v>
      </c>
    </row>
    <row r="1680" spans="1:9" ht="29" x14ac:dyDescent="0.35">
      <c r="A1680" s="195">
        <v>12</v>
      </c>
      <c r="B1680" s="195">
        <v>45</v>
      </c>
      <c r="C1680" s="195" t="s">
        <v>2156</v>
      </c>
      <c r="D1680" s="64">
        <v>73690</v>
      </c>
      <c r="E1680" s="195" t="s">
        <v>366</v>
      </c>
      <c r="F1680" s="71" t="s">
        <v>367</v>
      </c>
      <c r="G1680" s="71" t="s">
        <v>2157</v>
      </c>
      <c r="H1680" s="71" t="s">
        <v>363</v>
      </c>
      <c r="I1680" s="71" t="s">
        <v>1374</v>
      </c>
    </row>
    <row r="1681" spans="1:9" ht="29" x14ac:dyDescent="0.35">
      <c r="A1681" s="195">
        <v>12</v>
      </c>
      <c r="B1681" s="195">
        <v>46</v>
      </c>
      <c r="C1681" s="195" t="s">
        <v>2158</v>
      </c>
      <c r="D1681" s="64">
        <v>17620</v>
      </c>
      <c r="E1681" s="195" t="s">
        <v>366</v>
      </c>
      <c r="F1681" s="71" t="s">
        <v>367</v>
      </c>
      <c r="G1681" s="71" t="s">
        <v>2157</v>
      </c>
      <c r="H1681" s="71" t="s">
        <v>2111</v>
      </c>
      <c r="I1681" s="71" t="s">
        <v>1374</v>
      </c>
    </row>
    <row r="1682" spans="1:9" ht="29" x14ac:dyDescent="0.35">
      <c r="A1682" s="195">
        <v>12</v>
      </c>
      <c r="B1682" s="195">
        <v>47</v>
      </c>
      <c r="C1682" s="195" t="s">
        <v>2159</v>
      </c>
      <c r="D1682" s="64">
        <v>3775</v>
      </c>
      <c r="E1682" s="195" t="s">
        <v>373</v>
      </c>
      <c r="F1682" s="71" t="s">
        <v>367</v>
      </c>
      <c r="G1682" s="71" t="s">
        <v>2157</v>
      </c>
      <c r="H1682" s="71" t="s">
        <v>2111</v>
      </c>
      <c r="I1682" s="71" t="s">
        <v>4177</v>
      </c>
    </row>
    <row r="1683" spans="1:9" ht="29" x14ac:dyDescent="0.35">
      <c r="A1683" s="195">
        <v>12</v>
      </c>
      <c r="B1683" s="195">
        <v>48</v>
      </c>
      <c r="C1683" s="195" t="s">
        <v>2160</v>
      </c>
      <c r="D1683" s="64">
        <v>4425</v>
      </c>
      <c r="E1683" s="195" t="s">
        <v>373</v>
      </c>
      <c r="F1683" s="71" t="s">
        <v>367</v>
      </c>
      <c r="G1683" s="71" t="s">
        <v>2157</v>
      </c>
      <c r="H1683" s="71" t="s">
        <v>2111</v>
      </c>
      <c r="I1683" s="71" t="s">
        <v>4178</v>
      </c>
    </row>
    <row r="1684" spans="1:9" ht="29" x14ac:dyDescent="0.35">
      <c r="A1684" s="195">
        <v>12</v>
      </c>
      <c r="B1684" s="195">
        <v>49</v>
      </c>
      <c r="C1684" s="195" t="s">
        <v>2161</v>
      </c>
      <c r="D1684" s="64">
        <v>8610</v>
      </c>
      <c r="E1684" s="195" t="s">
        <v>373</v>
      </c>
      <c r="F1684" s="71" t="s">
        <v>367</v>
      </c>
      <c r="G1684" s="71" t="s">
        <v>2157</v>
      </c>
      <c r="H1684" s="71" t="s">
        <v>2111</v>
      </c>
      <c r="I1684" s="71" t="s">
        <v>4179</v>
      </c>
    </row>
    <row r="1685" spans="1:9" ht="29" x14ac:dyDescent="0.35">
      <c r="A1685" s="195">
        <v>12</v>
      </c>
      <c r="B1685" s="195">
        <v>50</v>
      </c>
      <c r="C1685" s="195" t="s">
        <v>2162</v>
      </c>
      <c r="D1685" s="64">
        <v>805</v>
      </c>
      <c r="E1685" s="195" t="s">
        <v>373</v>
      </c>
      <c r="F1685" s="71" t="s">
        <v>367</v>
      </c>
      <c r="G1685" s="71" t="s">
        <v>2157</v>
      </c>
      <c r="H1685" s="71" t="s">
        <v>2111</v>
      </c>
      <c r="I1685" s="71" t="s">
        <v>1671</v>
      </c>
    </row>
    <row r="1686" spans="1:9" ht="29" x14ac:dyDescent="0.35">
      <c r="A1686" s="195">
        <v>12</v>
      </c>
      <c r="B1686" s="195">
        <v>51</v>
      </c>
      <c r="C1686" s="195" t="s">
        <v>2163</v>
      </c>
      <c r="D1686" s="64">
        <v>12825</v>
      </c>
      <c r="E1686" s="195" t="s">
        <v>366</v>
      </c>
      <c r="F1686" s="71" t="s">
        <v>367</v>
      </c>
      <c r="G1686" s="71" t="s">
        <v>2157</v>
      </c>
      <c r="H1686" s="71" t="s">
        <v>2117</v>
      </c>
      <c r="I1686" s="71" t="s">
        <v>1374</v>
      </c>
    </row>
    <row r="1687" spans="1:9" ht="29" x14ac:dyDescent="0.35">
      <c r="A1687" s="195">
        <v>12</v>
      </c>
      <c r="B1687" s="195">
        <v>52</v>
      </c>
      <c r="C1687" s="195" t="s">
        <v>2164</v>
      </c>
      <c r="D1687" s="64">
        <v>6605</v>
      </c>
      <c r="E1687" s="195" t="s">
        <v>373</v>
      </c>
      <c r="F1687" s="71" t="s">
        <v>367</v>
      </c>
      <c r="G1687" s="71" t="s">
        <v>2157</v>
      </c>
      <c r="H1687" s="71" t="s">
        <v>2117</v>
      </c>
      <c r="I1687" s="71" t="s">
        <v>4177</v>
      </c>
    </row>
    <row r="1688" spans="1:9" ht="29" x14ac:dyDescent="0.35">
      <c r="A1688" s="195">
        <v>12</v>
      </c>
      <c r="B1688" s="195">
        <v>53</v>
      </c>
      <c r="C1688" s="195" t="s">
        <v>2165</v>
      </c>
      <c r="D1688" s="64">
        <v>4250</v>
      </c>
      <c r="E1688" s="195" t="s">
        <v>373</v>
      </c>
      <c r="F1688" s="71" t="s">
        <v>367</v>
      </c>
      <c r="G1688" s="71" t="s">
        <v>2157</v>
      </c>
      <c r="H1688" s="71" t="s">
        <v>2117</v>
      </c>
      <c r="I1688" s="71" t="s">
        <v>4178</v>
      </c>
    </row>
    <row r="1689" spans="1:9" ht="29" x14ac:dyDescent="0.35">
      <c r="A1689" s="195">
        <v>12</v>
      </c>
      <c r="B1689" s="195">
        <v>54</v>
      </c>
      <c r="C1689" s="195" t="s">
        <v>2166</v>
      </c>
      <c r="D1689" s="64">
        <v>1970</v>
      </c>
      <c r="E1689" s="195" t="s">
        <v>373</v>
      </c>
      <c r="F1689" s="71" t="s">
        <v>367</v>
      </c>
      <c r="G1689" s="71" t="s">
        <v>2157</v>
      </c>
      <c r="H1689" s="71" t="s">
        <v>2117</v>
      </c>
      <c r="I1689" s="71" t="s">
        <v>4179</v>
      </c>
    </row>
    <row r="1690" spans="1:9" ht="29" x14ac:dyDescent="0.35">
      <c r="A1690" s="195">
        <v>12</v>
      </c>
      <c r="B1690" s="195">
        <v>55</v>
      </c>
      <c r="C1690" s="195" t="s">
        <v>2167</v>
      </c>
      <c r="D1690" s="195">
        <v>0</v>
      </c>
      <c r="E1690" s="195" t="s">
        <v>373</v>
      </c>
      <c r="F1690" s="71" t="s">
        <v>367</v>
      </c>
      <c r="G1690" s="71" t="s">
        <v>2157</v>
      </c>
      <c r="H1690" s="71" t="s">
        <v>2117</v>
      </c>
      <c r="I1690" s="71" t="s">
        <v>1671</v>
      </c>
    </row>
    <row r="1691" spans="1:9" ht="29" x14ac:dyDescent="0.35">
      <c r="A1691" s="195">
        <v>12</v>
      </c>
      <c r="B1691" s="195">
        <v>56</v>
      </c>
      <c r="C1691" s="195" t="s">
        <v>2168</v>
      </c>
      <c r="D1691" s="64">
        <v>14445</v>
      </c>
      <c r="E1691" s="195" t="s">
        <v>366</v>
      </c>
      <c r="F1691" s="71" t="s">
        <v>367</v>
      </c>
      <c r="G1691" s="71" t="s">
        <v>2157</v>
      </c>
      <c r="H1691" s="71" t="s">
        <v>2123</v>
      </c>
      <c r="I1691" s="71" t="s">
        <v>1374</v>
      </c>
    </row>
    <row r="1692" spans="1:9" ht="29" x14ac:dyDescent="0.35">
      <c r="A1692" s="195">
        <v>12</v>
      </c>
      <c r="B1692" s="195">
        <v>57</v>
      </c>
      <c r="C1692" s="195" t="s">
        <v>2169</v>
      </c>
      <c r="D1692" s="64">
        <v>10760</v>
      </c>
      <c r="E1692" s="195" t="s">
        <v>373</v>
      </c>
      <c r="F1692" s="71" t="s">
        <v>367</v>
      </c>
      <c r="G1692" s="71" t="s">
        <v>2157</v>
      </c>
      <c r="H1692" s="71" t="s">
        <v>2123</v>
      </c>
      <c r="I1692" s="71" t="s">
        <v>4177</v>
      </c>
    </row>
    <row r="1693" spans="1:9" ht="29" x14ac:dyDescent="0.35">
      <c r="A1693" s="195">
        <v>12</v>
      </c>
      <c r="B1693" s="195">
        <v>58</v>
      </c>
      <c r="C1693" s="195" t="s">
        <v>2170</v>
      </c>
      <c r="D1693" s="64">
        <v>3070</v>
      </c>
      <c r="E1693" s="195" t="s">
        <v>373</v>
      </c>
      <c r="F1693" s="71" t="s">
        <v>367</v>
      </c>
      <c r="G1693" s="71" t="s">
        <v>2157</v>
      </c>
      <c r="H1693" s="71" t="s">
        <v>2123</v>
      </c>
      <c r="I1693" s="71" t="s">
        <v>4178</v>
      </c>
    </row>
    <row r="1694" spans="1:9" ht="29" x14ac:dyDescent="0.35">
      <c r="A1694" s="195">
        <v>12</v>
      </c>
      <c r="B1694" s="195">
        <v>59</v>
      </c>
      <c r="C1694" s="195" t="s">
        <v>2171</v>
      </c>
      <c r="D1694" s="64">
        <v>615</v>
      </c>
      <c r="E1694" s="195" t="s">
        <v>373</v>
      </c>
      <c r="F1694" s="71" t="s">
        <v>367</v>
      </c>
      <c r="G1694" s="71" t="s">
        <v>2157</v>
      </c>
      <c r="H1694" s="71" t="s">
        <v>2123</v>
      </c>
      <c r="I1694" s="71" t="s">
        <v>4179</v>
      </c>
    </row>
    <row r="1695" spans="1:9" ht="29" x14ac:dyDescent="0.35">
      <c r="A1695" s="195">
        <v>12</v>
      </c>
      <c r="B1695" s="195">
        <v>60</v>
      </c>
      <c r="C1695" s="195" t="s">
        <v>2172</v>
      </c>
      <c r="D1695" s="195">
        <v>0</v>
      </c>
      <c r="E1695" s="195" t="s">
        <v>373</v>
      </c>
      <c r="F1695" s="71" t="s">
        <v>367</v>
      </c>
      <c r="G1695" s="71" t="s">
        <v>2157</v>
      </c>
      <c r="H1695" s="71" t="s">
        <v>2123</v>
      </c>
      <c r="I1695" s="71" t="s">
        <v>1671</v>
      </c>
    </row>
    <row r="1696" spans="1:9" ht="29" x14ac:dyDescent="0.35">
      <c r="A1696" s="195">
        <v>12</v>
      </c>
      <c r="B1696" s="195">
        <v>61</v>
      </c>
      <c r="C1696" s="195" t="s">
        <v>2173</v>
      </c>
      <c r="D1696" s="64">
        <v>28805</v>
      </c>
      <c r="E1696" s="195" t="s">
        <v>366</v>
      </c>
      <c r="F1696" s="71" t="s">
        <v>367</v>
      </c>
      <c r="G1696" s="71" t="s">
        <v>2157</v>
      </c>
      <c r="H1696" s="71" t="s">
        <v>2129</v>
      </c>
      <c r="I1696" s="71" t="s">
        <v>1374</v>
      </c>
    </row>
    <row r="1697" spans="1:9" ht="29" x14ac:dyDescent="0.35">
      <c r="A1697" s="195">
        <v>12</v>
      </c>
      <c r="B1697" s="195">
        <v>62</v>
      </c>
      <c r="C1697" s="195" t="s">
        <v>2174</v>
      </c>
      <c r="D1697" s="64">
        <v>27050</v>
      </c>
      <c r="E1697" s="195" t="s">
        <v>373</v>
      </c>
      <c r="F1697" s="71" t="s">
        <v>367</v>
      </c>
      <c r="G1697" s="71" t="s">
        <v>2157</v>
      </c>
      <c r="H1697" s="71" t="s">
        <v>2129</v>
      </c>
      <c r="I1697" s="71" t="s">
        <v>4177</v>
      </c>
    </row>
    <row r="1698" spans="1:9" ht="29" x14ac:dyDescent="0.35">
      <c r="A1698" s="195">
        <v>12</v>
      </c>
      <c r="B1698" s="195">
        <v>63</v>
      </c>
      <c r="C1698" s="195" t="s">
        <v>2175</v>
      </c>
      <c r="D1698" s="64">
        <v>1575</v>
      </c>
      <c r="E1698" s="195" t="s">
        <v>373</v>
      </c>
      <c r="F1698" s="71" t="s">
        <v>367</v>
      </c>
      <c r="G1698" s="71" t="s">
        <v>2157</v>
      </c>
      <c r="H1698" s="71" t="s">
        <v>2129</v>
      </c>
      <c r="I1698" s="71" t="s">
        <v>4178</v>
      </c>
    </row>
    <row r="1699" spans="1:9" ht="29" x14ac:dyDescent="0.35">
      <c r="A1699" s="195">
        <v>12</v>
      </c>
      <c r="B1699" s="195">
        <v>64</v>
      </c>
      <c r="C1699" s="195" t="s">
        <v>2176</v>
      </c>
      <c r="D1699" s="195">
        <v>180</v>
      </c>
      <c r="E1699" s="195" t="s">
        <v>373</v>
      </c>
      <c r="F1699" s="71" t="s">
        <v>367</v>
      </c>
      <c r="G1699" s="71" t="s">
        <v>2157</v>
      </c>
      <c r="H1699" s="71" t="s">
        <v>2129</v>
      </c>
      <c r="I1699" s="71" t="s">
        <v>4179</v>
      </c>
    </row>
    <row r="1700" spans="1:9" ht="29" x14ac:dyDescent="0.35">
      <c r="A1700" s="195">
        <v>12</v>
      </c>
      <c r="B1700" s="195">
        <v>65</v>
      </c>
      <c r="C1700" s="195" t="s">
        <v>2177</v>
      </c>
      <c r="D1700" s="195">
        <v>0</v>
      </c>
      <c r="E1700" s="195" t="s">
        <v>373</v>
      </c>
      <c r="F1700" s="71" t="s">
        <v>367</v>
      </c>
      <c r="G1700" s="71" t="s">
        <v>2157</v>
      </c>
      <c r="H1700" s="71" t="s">
        <v>2129</v>
      </c>
      <c r="I1700" s="71" t="s">
        <v>1671</v>
      </c>
    </row>
    <row r="1701" spans="1:9" ht="29" x14ac:dyDescent="0.35">
      <c r="A1701" s="195">
        <v>12</v>
      </c>
      <c r="B1701" s="195">
        <v>66</v>
      </c>
      <c r="C1701" s="195" t="s">
        <v>2178</v>
      </c>
      <c r="D1701" s="64">
        <v>114680</v>
      </c>
      <c r="E1701" s="195" t="s">
        <v>366</v>
      </c>
      <c r="F1701" s="71" t="s">
        <v>367</v>
      </c>
      <c r="G1701" s="71" t="s">
        <v>2179</v>
      </c>
      <c r="H1701" s="71" t="s">
        <v>363</v>
      </c>
      <c r="I1701" s="71" t="s">
        <v>1374</v>
      </c>
    </row>
    <row r="1702" spans="1:9" ht="29" x14ac:dyDescent="0.35">
      <c r="A1702" s="195">
        <v>12</v>
      </c>
      <c r="B1702" s="195">
        <v>67</v>
      </c>
      <c r="C1702" s="195" t="s">
        <v>2180</v>
      </c>
      <c r="D1702" s="64">
        <v>28230</v>
      </c>
      <c r="E1702" s="195" t="s">
        <v>366</v>
      </c>
      <c r="F1702" s="71" t="s">
        <v>367</v>
      </c>
      <c r="G1702" s="71" t="s">
        <v>2179</v>
      </c>
      <c r="H1702" s="71" t="s">
        <v>2111</v>
      </c>
      <c r="I1702" s="71" t="s">
        <v>1374</v>
      </c>
    </row>
    <row r="1703" spans="1:9" ht="29" x14ac:dyDescent="0.35">
      <c r="A1703" s="195">
        <v>12</v>
      </c>
      <c r="B1703" s="195">
        <v>68</v>
      </c>
      <c r="C1703" s="195" t="s">
        <v>2181</v>
      </c>
      <c r="D1703" s="64">
        <v>6965</v>
      </c>
      <c r="E1703" s="195" t="s">
        <v>373</v>
      </c>
      <c r="F1703" s="71" t="s">
        <v>367</v>
      </c>
      <c r="G1703" s="71" t="s">
        <v>2179</v>
      </c>
      <c r="H1703" s="71" t="s">
        <v>2111</v>
      </c>
      <c r="I1703" s="71" t="s">
        <v>4177</v>
      </c>
    </row>
    <row r="1704" spans="1:9" ht="29" x14ac:dyDescent="0.35">
      <c r="A1704" s="195">
        <v>12</v>
      </c>
      <c r="B1704" s="195">
        <v>69</v>
      </c>
      <c r="C1704" s="195" t="s">
        <v>2182</v>
      </c>
      <c r="D1704" s="64">
        <v>6540</v>
      </c>
      <c r="E1704" s="195" t="s">
        <v>373</v>
      </c>
      <c r="F1704" s="71" t="s">
        <v>367</v>
      </c>
      <c r="G1704" s="71" t="s">
        <v>2179</v>
      </c>
      <c r="H1704" s="71" t="s">
        <v>2111</v>
      </c>
      <c r="I1704" s="71" t="s">
        <v>4178</v>
      </c>
    </row>
    <row r="1705" spans="1:9" ht="29" x14ac:dyDescent="0.35">
      <c r="A1705" s="195">
        <v>12</v>
      </c>
      <c r="B1705" s="195">
        <v>70</v>
      </c>
      <c r="C1705" s="195" t="s">
        <v>2183</v>
      </c>
      <c r="D1705" s="64">
        <v>13515</v>
      </c>
      <c r="E1705" s="195" t="s">
        <v>373</v>
      </c>
      <c r="F1705" s="71" t="s">
        <v>367</v>
      </c>
      <c r="G1705" s="71" t="s">
        <v>2179</v>
      </c>
      <c r="H1705" s="71" t="s">
        <v>2111</v>
      </c>
      <c r="I1705" s="71" t="s">
        <v>4179</v>
      </c>
    </row>
    <row r="1706" spans="1:9" ht="29" x14ac:dyDescent="0.35">
      <c r="A1706" s="195">
        <v>12</v>
      </c>
      <c r="B1706" s="195">
        <v>71</v>
      </c>
      <c r="C1706" s="195" t="s">
        <v>2184</v>
      </c>
      <c r="D1706" s="64">
        <v>1210</v>
      </c>
      <c r="E1706" s="195" t="s">
        <v>373</v>
      </c>
      <c r="F1706" s="71" t="s">
        <v>367</v>
      </c>
      <c r="G1706" s="71" t="s">
        <v>2179</v>
      </c>
      <c r="H1706" s="71" t="s">
        <v>2111</v>
      </c>
      <c r="I1706" s="71" t="s">
        <v>1671</v>
      </c>
    </row>
    <row r="1707" spans="1:9" ht="29" x14ac:dyDescent="0.35">
      <c r="A1707" s="195">
        <v>12</v>
      </c>
      <c r="B1707" s="195">
        <v>72</v>
      </c>
      <c r="C1707" s="195" t="s">
        <v>2185</v>
      </c>
      <c r="D1707" s="64">
        <v>20950</v>
      </c>
      <c r="E1707" s="195" t="s">
        <v>366</v>
      </c>
      <c r="F1707" s="71" t="s">
        <v>367</v>
      </c>
      <c r="G1707" s="71" t="s">
        <v>2179</v>
      </c>
      <c r="H1707" s="71" t="s">
        <v>2117</v>
      </c>
      <c r="I1707" s="71" t="s">
        <v>1374</v>
      </c>
    </row>
    <row r="1708" spans="1:9" ht="29" x14ac:dyDescent="0.35">
      <c r="A1708" s="195">
        <v>12</v>
      </c>
      <c r="B1708" s="195">
        <v>73</v>
      </c>
      <c r="C1708" s="195" t="s">
        <v>2186</v>
      </c>
      <c r="D1708" s="64">
        <v>11500</v>
      </c>
      <c r="E1708" s="195" t="s">
        <v>373</v>
      </c>
      <c r="F1708" s="71" t="s">
        <v>367</v>
      </c>
      <c r="G1708" s="71" t="s">
        <v>2179</v>
      </c>
      <c r="H1708" s="71" t="s">
        <v>2117</v>
      </c>
      <c r="I1708" s="71" t="s">
        <v>4177</v>
      </c>
    </row>
    <row r="1709" spans="1:9" ht="29" x14ac:dyDescent="0.35">
      <c r="A1709" s="195">
        <v>12</v>
      </c>
      <c r="B1709" s="195">
        <v>74</v>
      </c>
      <c r="C1709" s="195" t="s">
        <v>2187</v>
      </c>
      <c r="D1709" s="64">
        <v>7125</v>
      </c>
      <c r="E1709" s="195" t="s">
        <v>373</v>
      </c>
      <c r="F1709" s="71" t="s">
        <v>367</v>
      </c>
      <c r="G1709" s="71" t="s">
        <v>2179</v>
      </c>
      <c r="H1709" s="71" t="s">
        <v>2117</v>
      </c>
      <c r="I1709" s="71" t="s">
        <v>4178</v>
      </c>
    </row>
    <row r="1710" spans="1:9" ht="29" x14ac:dyDescent="0.35">
      <c r="A1710" s="195">
        <v>12</v>
      </c>
      <c r="B1710" s="195">
        <v>75</v>
      </c>
      <c r="C1710" s="195" t="s">
        <v>2188</v>
      </c>
      <c r="D1710" s="64">
        <v>2325</v>
      </c>
      <c r="E1710" s="195" t="s">
        <v>373</v>
      </c>
      <c r="F1710" s="71" t="s">
        <v>367</v>
      </c>
      <c r="G1710" s="71" t="s">
        <v>2179</v>
      </c>
      <c r="H1710" s="71" t="s">
        <v>2117</v>
      </c>
      <c r="I1710" s="71" t="s">
        <v>4179</v>
      </c>
    </row>
    <row r="1711" spans="1:9" ht="29" x14ac:dyDescent="0.35">
      <c r="A1711" s="195">
        <v>12</v>
      </c>
      <c r="B1711" s="195">
        <v>76</v>
      </c>
      <c r="C1711" s="195" t="s">
        <v>2189</v>
      </c>
      <c r="D1711" s="195">
        <v>0</v>
      </c>
      <c r="E1711" s="195" t="s">
        <v>373</v>
      </c>
      <c r="F1711" s="71" t="s">
        <v>367</v>
      </c>
      <c r="G1711" s="71" t="s">
        <v>2179</v>
      </c>
      <c r="H1711" s="71" t="s">
        <v>2117</v>
      </c>
      <c r="I1711" s="71" t="s">
        <v>1671</v>
      </c>
    </row>
    <row r="1712" spans="1:9" ht="29" x14ac:dyDescent="0.35">
      <c r="A1712" s="195">
        <v>12</v>
      </c>
      <c r="B1712" s="195">
        <v>77</v>
      </c>
      <c r="C1712" s="195" t="s">
        <v>2190</v>
      </c>
      <c r="D1712" s="64">
        <v>23705</v>
      </c>
      <c r="E1712" s="195" t="s">
        <v>366</v>
      </c>
      <c r="F1712" s="71" t="s">
        <v>367</v>
      </c>
      <c r="G1712" s="71" t="s">
        <v>2179</v>
      </c>
      <c r="H1712" s="71" t="s">
        <v>2123</v>
      </c>
      <c r="I1712" s="71" t="s">
        <v>1374</v>
      </c>
    </row>
    <row r="1713" spans="1:9" ht="29" x14ac:dyDescent="0.35">
      <c r="A1713" s="195">
        <v>12</v>
      </c>
      <c r="B1713" s="195">
        <v>78</v>
      </c>
      <c r="C1713" s="195" t="s">
        <v>2191</v>
      </c>
      <c r="D1713" s="64">
        <v>17890</v>
      </c>
      <c r="E1713" s="195" t="s">
        <v>373</v>
      </c>
      <c r="F1713" s="71" t="s">
        <v>367</v>
      </c>
      <c r="G1713" s="71" t="s">
        <v>2179</v>
      </c>
      <c r="H1713" s="71" t="s">
        <v>2123</v>
      </c>
      <c r="I1713" s="71" t="s">
        <v>4177</v>
      </c>
    </row>
    <row r="1714" spans="1:9" ht="29" x14ac:dyDescent="0.35">
      <c r="A1714" s="195">
        <v>12</v>
      </c>
      <c r="B1714" s="195">
        <v>79</v>
      </c>
      <c r="C1714" s="195" t="s">
        <v>2192</v>
      </c>
      <c r="D1714" s="64">
        <v>5290</v>
      </c>
      <c r="E1714" s="195" t="s">
        <v>373</v>
      </c>
      <c r="F1714" s="71" t="s">
        <v>367</v>
      </c>
      <c r="G1714" s="71" t="s">
        <v>2179</v>
      </c>
      <c r="H1714" s="71" t="s">
        <v>2123</v>
      </c>
      <c r="I1714" s="71" t="s">
        <v>4178</v>
      </c>
    </row>
    <row r="1715" spans="1:9" ht="29" x14ac:dyDescent="0.35">
      <c r="A1715" s="195">
        <v>12</v>
      </c>
      <c r="B1715" s="195">
        <v>80</v>
      </c>
      <c r="C1715" s="195" t="s">
        <v>2193</v>
      </c>
      <c r="D1715" s="64">
        <v>525</v>
      </c>
      <c r="E1715" s="195" t="s">
        <v>373</v>
      </c>
      <c r="F1715" s="71" t="s">
        <v>367</v>
      </c>
      <c r="G1715" s="71" t="s">
        <v>2179</v>
      </c>
      <c r="H1715" s="71" t="s">
        <v>2123</v>
      </c>
      <c r="I1715" s="71" t="s">
        <v>4179</v>
      </c>
    </row>
    <row r="1716" spans="1:9" ht="29" x14ac:dyDescent="0.35">
      <c r="A1716" s="195">
        <v>12</v>
      </c>
      <c r="B1716" s="195">
        <v>81</v>
      </c>
      <c r="C1716" s="195" t="s">
        <v>2194</v>
      </c>
      <c r="D1716" s="195">
        <v>0</v>
      </c>
      <c r="E1716" s="195" t="s">
        <v>373</v>
      </c>
      <c r="F1716" s="71" t="s">
        <v>367</v>
      </c>
      <c r="G1716" s="71" t="s">
        <v>2179</v>
      </c>
      <c r="H1716" s="71" t="s">
        <v>2123</v>
      </c>
      <c r="I1716" s="71" t="s">
        <v>1671</v>
      </c>
    </row>
    <row r="1717" spans="1:9" ht="29" x14ac:dyDescent="0.35">
      <c r="A1717" s="195">
        <v>12</v>
      </c>
      <c r="B1717" s="195">
        <v>82</v>
      </c>
      <c r="C1717" s="195" t="s">
        <v>2195</v>
      </c>
      <c r="D1717" s="64">
        <v>41790</v>
      </c>
      <c r="E1717" s="195" t="s">
        <v>366</v>
      </c>
      <c r="F1717" s="71" t="s">
        <v>367</v>
      </c>
      <c r="G1717" s="71" t="s">
        <v>2179</v>
      </c>
      <c r="H1717" s="71" t="s">
        <v>2129</v>
      </c>
      <c r="I1717" s="71" t="s">
        <v>1374</v>
      </c>
    </row>
    <row r="1718" spans="1:9" ht="29" x14ac:dyDescent="0.35">
      <c r="A1718" s="195">
        <v>12</v>
      </c>
      <c r="B1718" s="195">
        <v>83</v>
      </c>
      <c r="C1718" s="195" t="s">
        <v>2196</v>
      </c>
      <c r="D1718" s="64">
        <v>39495</v>
      </c>
      <c r="E1718" s="195" t="s">
        <v>373</v>
      </c>
      <c r="F1718" s="71" t="s">
        <v>367</v>
      </c>
      <c r="G1718" s="71" t="s">
        <v>2179</v>
      </c>
      <c r="H1718" s="71" t="s">
        <v>2129</v>
      </c>
      <c r="I1718" s="71" t="s">
        <v>4177</v>
      </c>
    </row>
    <row r="1719" spans="1:9" ht="29" x14ac:dyDescent="0.35">
      <c r="A1719" s="195">
        <v>12</v>
      </c>
      <c r="B1719" s="195">
        <v>84</v>
      </c>
      <c r="C1719" s="195" t="s">
        <v>2197</v>
      </c>
      <c r="D1719" s="64">
        <v>2105</v>
      </c>
      <c r="E1719" s="195" t="s">
        <v>373</v>
      </c>
      <c r="F1719" s="71" t="s">
        <v>367</v>
      </c>
      <c r="G1719" s="71" t="s">
        <v>2179</v>
      </c>
      <c r="H1719" s="71" t="s">
        <v>2129</v>
      </c>
      <c r="I1719" s="71" t="s">
        <v>4178</v>
      </c>
    </row>
    <row r="1720" spans="1:9" ht="29" x14ac:dyDescent="0.35">
      <c r="A1720" s="195">
        <v>12</v>
      </c>
      <c r="B1720" s="195">
        <v>85</v>
      </c>
      <c r="C1720" s="195" t="s">
        <v>2198</v>
      </c>
      <c r="D1720" s="195">
        <v>185</v>
      </c>
      <c r="E1720" s="195" t="s">
        <v>373</v>
      </c>
      <c r="F1720" s="71" t="s">
        <v>367</v>
      </c>
      <c r="G1720" s="71" t="s">
        <v>2179</v>
      </c>
      <c r="H1720" s="71" t="s">
        <v>2129</v>
      </c>
      <c r="I1720" s="71" t="s">
        <v>4179</v>
      </c>
    </row>
    <row r="1721" spans="1:9" ht="29" x14ac:dyDescent="0.35">
      <c r="A1721" s="195">
        <v>12</v>
      </c>
      <c r="B1721" s="195">
        <v>86</v>
      </c>
      <c r="C1721" s="195" t="s">
        <v>2199</v>
      </c>
      <c r="D1721" s="195">
        <v>0</v>
      </c>
      <c r="E1721" s="195" t="s">
        <v>373</v>
      </c>
      <c r="F1721" s="71" t="s">
        <v>367</v>
      </c>
      <c r="G1721" s="71" t="s">
        <v>2179</v>
      </c>
      <c r="H1721" s="71" t="s">
        <v>2129</v>
      </c>
      <c r="I1721" s="71" t="s">
        <v>1671</v>
      </c>
    </row>
    <row r="1722" spans="1:9" ht="29" x14ac:dyDescent="0.35">
      <c r="A1722" s="195">
        <v>12</v>
      </c>
      <c r="B1722" s="195">
        <v>87</v>
      </c>
      <c r="C1722" s="195" t="s">
        <v>2200</v>
      </c>
      <c r="D1722" s="64">
        <v>189500</v>
      </c>
      <c r="E1722" s="195" t="s">
        <v>366</v>
      </c>
      <c r="F1722" s="71" t="s">
        <v>367</v>
      </c>
      <c r="G1722" s="71" t="s">
        <v>2201</v>
      </c>
      <c r="H1722" s="71" t="s">
        <v>363</v>
      </c>
      <c r="I1722" s="71" t="s">
        <v>1374</v>
      </c>
    </row>
    <row r="1723" spans="1:9" ht="29" x14ac:dyDescent="0.35">
      <c r="A1723" s="195">
        <v>12</v>
      </c>
      <c r="B1723" s="195">
        <v>88</v>
      </c>
      <c r="C1723" s="195" t="s">
        <v>2202</v>
      </c>
      <c r="D1723" s="64">
        <v>45590</v>
      </c>
      <c r="E1723" s="195" t="s">
        <v>366</v>
      </c>
      <c r="F1723" s="71" t="s">
        <v>367</v>
      </c>
      <c r="G1723" s="71" t="s">
        <v>2201</v>
      </c>
      <c r="H1723" s="71" t="s">
        <v>2111</v>
      </c>
      <c r="I1723" s="71" t="s">
        <v>1374</v>
      </c>
    </row>
    <row r="1724" spans="1:9" ht="29" x14ac:dyDescent="0.35">
      <c r="A1724" s="195">
        <v>12</v>
      </c>
      <c r="B1724" s="195">
        <v>89</v>
      </c>
      <c r="C1724" s="195" t="s">
        <v>2203</v>
      </c>
      <c r="D1724" s="64">
        <v>9690</v>
      </c>
      <c r="E1724" s="195" t="s">
        <v>373</v>
      </c>
      <c r="F1724" s="71" t="s">
        <v>367</v>
      </c>
      <c r="G1724" s="71" t="s">
        <v>2201</v>
      </c>
      <c r="H1724" s="71" t="s">
        <v>2111</v>
      </c>
      <c r="I1724" s="71" t="s">
        <v>4177</v>
      </c>
    </row>
    <row r="1725" spans="1:9" ht="29" x14ac:dyDescent="0.35">
      <c r="A1725" s="195">
        <v>12</v>
      </c>
      <c r="B1725" s="195">
        <v>90</v>
      </c>
      <c r="C1725" s="195" t="s">
        <v>2204</v>
      </c>
      <c r="D1725" s="64">
        <v>9475</v>
      </c>
      <c r="E1725" s="195" t="s">
        <v>373</v>
      </c>
      <c r="F1725" s="71" t="s">
        <v>367</v>
      </c>
      <c r="G1725" s="71" t="s">
        <v>2201</v>
      </c>
      <c r="H1725" s="71" t="s">
        <v>2111</v>
      </c>
      <c r="I1725" s="71" t="s">
        <v>4178</v>
      </c>
    </row>
    <row r="1726" spans="1:9" ht="29" x14ac:dyDescent="0.35">
      <c r="A1726" s="195">
        <v>12</v>
      </c>
      <c r="B1726" s="195">
        <v>91</v>
      </c>
      <c r="C1726" s="195" t="s">
        <v>2205</v>
      </c>
      <c r="D1726" s="64">
        <v>24360</v>
      </c>
      <c r="E1726" s="195" t="s">
        <v>373</v>
      </c>
      <c r="F1726" s="71" t="s">
        <v>367</v>
      </c>
      <c r="G1726" s="71" t="s">
        <v>2201</v>
      </c>
      <c r="H1726" s="71" t="s">
        <v>2111</v>
      </c>
      <c r="I1726" s="71" t="s">
        <v>4179</v>
      </c>
    </row>
    <row r="1727" spans="1:9" ht="29" x14ac:dyDescent="0.35">
      <c r="A1727" s="195">
        <v>12</v>
      </c>
      <c r="B1727" s="195">
        <v>92</v>
      </c>
      <c r="C1727" s="195" t="s">
        <v>2206</v>
      </c>
      <c r="D1727" s="64">
        <v>2070</v>
      </c>
      <c r="E1727" s="195" t="s">
        <v>373</v>
      </c>
      <c r="F1727" s="71" t="s">
        <v>367</v>
      </c>
      <c r="G1727" s="71" t="s">
        <v>2201</v>
      </c>
      <c r="H1727" s="71" t="s">
        <v>2111</v>
      </c>
      <c r="I1727" s="71" t="s">
        <v>1671</v>
      </c>
    </row>
    <row r="1728" spans="1:9" ht="29" x14ac:dyDescent="0.35">
      <c r="A1728" s="195">
        <v>12</v>
      </c>
      <c r="B1728" s="195">
        <v>93</v>
      </c>
      <c r="C1728" s="195" t="s">
        <v>2207</v>
      </c>
      <c r="D1728" s="64">
        <v>30955</v>
      </c>
      <c r="E1728" s="195" t="s">
        <v>366</v>
      </c>
      <c r="F1728" s="71" t="s">
        <v>367</v>
      </c>
      <c r="G1728" s="71" t="s">
        <v>2201</v>
      </c>
      <c r="H1728" s="71" t="s">
        <v>2117</v>
      </c>
      <c r="I1728" s="71" t="s">
        <v>1374</v>
      </c>
    </row>
    <row r="1729" spans="1:9" ht="29" x14ac:dyDescent="0.35">
      <c r="A1729" s="195">
        <v>12</v>
      </c>
      <c r="B1729" s="195">
        <v>94</v>
      </c>
      <c r="C1729" s="195" t="s">
        <v>2208</v>
      </c>
      <c r="D1729" s="64">
        <v>15665</v>
      </c>
      <c r="E1729" s="195" t="s">
        <v>373</v>
      </c>
      <c r="F1729" s="71" t="s">
        <v>367</v>
      </c>
      <c r="G1729" s="71" t="s">
        <v>2201</v>
      </c>
      <c r="H1729" s="71" t="s">
        <v>2117</v>
      </c>
      <c r="I1729" s="71" t="s">
        <v>4177</v>
      </c>
    </row>
    <row r="1730" spans="1:9" ht="29" x14ac:dyDescent="0.35">
      <c r="A1730" s="195">
        <v>12</v>
      </c>
      <c r="B1730" s="195">
        <v>95</v>
      </c>
      <c r="C1730" s="195" t="s">
        <v>2209</v>
      </c>
      <c r="D1730" s="64">
        <v>9745</v>
      </c>
      <c r="E1730" s="195" t="s">
        <v>373</v>
      </c>
      <c r="F1730" s="71" t="s">
        <v>367</v>
      </c>
      <c r="G1730" s="71" t="s">
        <v>2201</v>
      </c>
      <c r="H1730" s="71" t="s">
        <v>2117</v>
      </c>
      <c r="I1730" s="71" t="s">
        <v>4178</v>
      </c>
    </row>
    <row r="1731" spans="1:9" ht="29" x14ac:dyDescent="0.35">
      <c r="A1731" s="195">
        <v>12</v>
      </c>
      <c r="B1731" s="195">
        <v>96</v>
      </c>
      <c r="C1731" s="195" t="s">
        <v>2210</v>
      </c>
      <c r="D1731" s="64">
        <v>5545</v>
      </c>
      <c r="E1731" s="195" t="s">
        <v>373</v>
      </c>
      <c r="F1731" s="71" t="s">
        <v>367</v>
      </c>
      <c r="G1731" s="71" t="s">
        <v>2201</v>
      </c>
      <c r="H1731" s="71" t="s">
        <v>2117</v>
      </c>
      <c r="I1731" s="71" t="s">
        <v>4179</v>
      </c>
    </row>
    <row r="1732" spans="1:9" ht="29" x14ac:dyDescent="0.35">
      <c r="A1732" s="195">
        <v>12</v>
      </c>
      <c r="B1732" s="195">
        <v>97</v>
      </c>
      <c r="C1732" s="195" t="s">
        <v>2211</v>
      </c>
      <c r="D1732" s="195">
        <v>0</v>
      </c>
      <c r="E1732" s="195" t="s">
        <v>373</v>
      </c>
      <c r="F1732" s="71" t="s">
        <v>367</v>
      </c>
      <c r="G1732" s="71" t="s">
        <v>2201</v>
      </c>
      <c r="H1732" s="71" t="s">
        <v>2117</v>
      </c>
      <c r="I1732" s="71" t="s">
        <v>1671</v>
      </c>
    </row>
    <row r="1733" spans="1:9" ht="29" x14ac:dyDescent="0.35">
      <c r="A1733" s="195">
        <v>12</v>
      </c>
      <c r="B1733" s="195">
        <v>98</v>
      </c>
      <c r="C1733" s="195" t="s">
        <v>2212</v>
      </c>
      <c r="D1733" s="64">
        <v>35155</v>
      </c>
      <c r="E1733" s="195" t="s">
        <v>366</v>
      </c>
      <c r="F1733" s="71" t="s">
        <v>367</v>
      </c>
      <c r="G1733" s="71" t="s">
        <v>2201</v>
      </c>
      <c r="H1733" s="71" t="s">
        <v>2123</v>
      </c>
      <c r="I1733" s="71" t="s">
        <v>1374</v>
      </c>
    </row>
    <row r="1734" spans="1:9" ht="29" x14ac:dyDescent="0.35">
      <c r="A1734" s="195">
        <v>12</v>
      </c>
      <c r="B1734" s="195">
        <v>99</v>
      </c>
      <c r="C1734" s="195" t="s">
        <v>2213</v>
      </c>
      <c r="D1734" s="64">
        <v>25140</v>
      </c>
      <c r="E1734" s="195" t="s">
        <v>373</v>
      </c>
      <c r="F1734" s="71" t="s">
        <v>367</v>
      </c>
      <c r="G1734" s="71" t="s">
        <v>2201</v>
      </c>
      <c r="H1734" s="71" t="s">
        <v>2123</v>
      </c>
      <c r="I1734" s="71" t="s">
        <v>4177</v>
      </c>
    </row>
    <row r="1735" spans="1:9" ht="29" x14ac:dyDescent="0.35">
      <c r="A1735" s="195">
        <v>12</v>
      </c>
      <c r="B1735" s="195">
        <v>100</v>
      </c>
      <c r="C1735" s="195" t="s">
        <v>2214</v>
      </c>
      <c r="D1735" s="64">
        <v>8010</v>
      </c>
      <c r="E1735" s="195" t="s">
        <v>373</v>
      </c>
      <c r="F1735" s="71" t="s">
        <v>367</v>
      </c>
      <c r="G1735" s="71" t="s">
        <v>2201</v>
      </c>
      <c r="H1735" s="71" t="s">
        <v>2123</v>
      </c>
      <c r="I1735" s="71" t="s">
        <v>4178</v>
      </c>
    </row>
    <row r="1736" spans="1:9" ht="29" x14ac:dyDescent="0.35">
      <c r="A1736" s="195">
        <v>12</v>
      </c>
      <c r="B1736" s="195">
        <v>101</v>
      </c>
      <c r="C1736" s="195" t="s">
        <v>2215</v>
      </c>
      <c r="D1736" s="64">
        <v>2005</v>
      </c>
      <c r="E1736" s="195" t="s">
        <v>373</v>
      </c>
      <c r="F1736" s="71" t="s">
        <v>367</v>
      </c>
      <c r="G1736" s="71" t="s">
        <v>2201</v>
      </c>
      <c r="H1736" s="71" t="s">
        <v>2123</v>
      </c>
      <c r="I1736" s="71" t="s">
        <v>4179</v>
      </c>
    </row>
    <row r="1737" spans="1:9" ht="29" x14ac:dyDescent="0.35">
      <c r="A1737" s="195">
        <v>12</v>
      </c>
      <c r="B1737" s="195">
        <v>102</v>
      </c>
      <c r="C1737" s="195" t="s">
        <v>2216</v>
      </c>
      <c r="D1737" s="195">
        <v>0</v>
      </c>
      <c r="E1737" s="195" t="s">
        <v>373</v>
      </c>
      <c r="F1737" s="71" t="s">
        <v>367</v>
      </c>
      <c r="G1737" s="71" t="s">
        <v>2201</v>
      </c>
      <c r="H1737" s="71" t="s">
        <v>2123</v>
      </c>
      <c r="I1737" s="71" t="s">
        <v>1671</v>
      </c>
    </row>
    <row r="1738" spans="1:9" ht="29" x14ac:dyDescent="0.35">
      <c r="A1738" s="195">
        <v>12</v>
      </c>
      <c r="B1738" s="195">
        <v>103</v>
      </c>
      <c r="C1738" s="195" t="s">
        <v>2217</v>
      </c>
      <c r="D1738" s="64">
        <v>77800</v>
      </c>
      <c r="E1738" s="195" t="s">
        <v>366</v>
      </c>
      <c r="F1738" s="71" t="s">
        <v>367</v>
      </c>
      <c r="G1738" s="71" t="s">
        <v>2201</v>
      </c>
      <c r="H1738" s="71" t="s">
        <v>2129</v>
      </c>
      <c r="I1738" s="71" t="s">
        <v>1374</v>
      </c>
    </row>
    <row r="1739" spans="1:9" ht="29" x14ac:dyDescent="0.35">
      <c r="A1739" s="195">
        <v>12</v>
      </c>
      <c r="B1739" s="195">
        <v>104</v>
      </c>
      <c r="C1739" s="195" t="s">
        <v>2218</v>
      </c>
      <c r="D1739" s="64">
        <v>71900</v>
      </c>
      <c r="E1739" s="195" t="s">
        <v>373</v>
      </c>
      <c r="F1739" s="71" t="s">
        <v>367</v>
      </c>
      <c r="G1739" s="71" t="s">
        <v>2201</v>
      </c>
      <c r="H1739" s="71" t="s">
        <v>2129</v>
      </c>
      <c r="I1739" s="71" t="s">
        <v>4177</v>
      </c>
    </row>
    <row r="1740" spans="1:9" ht="29" x14ac:dyDescent="0.35">
      <c r="A1740" s="195">
        <v>12</v>
      </c>
      <c r="B1740" s="195">
        <v>105</v>
      </c>
      <c r="C1740" s="195" t="s">
        <v>2219</v>
      </c>
      <c r="D1740" s="64">
        <v>5180</v>
      </c>
      <c r="E1740" s="195" t="s">
        <v>373</v>
      </c>
      <c r="F1740" s="71" t="s">
        <v>367</v>
      </c>
      <c r="G1740" s="71" t="s">
        <v>2201</v>
      </c>
      <c r="H1740" s="71" t="s">
        <v>2129</v>
      </c>
      <c r="I1740" s="71" t="s">
        <v>4178</v>
      </c>
    </row>
    <row r="1741" spans="1:9" ht="29" x14ac:dyDescent="0.35">
      <c r="A1741" s="195">
        <v>12</v>
      </c>
      <c r="B1741" s="195">
        <v>106</v>
      </c>
      <c r="C1741" s="195" t="s">
        <v>2220</v>
      </c>
      <c r="D1741" s="64">
        <v>720</v>
      </c>
      <c r="E1741" s="195" t="s">
        <v>373</v>
      </c>
      <c r="F1741" s="71" t="s">
        <v>367</v>
      </c>
      <c r="G1741" s="71" t="s">
        <v>2201</v>
      </c>
      <c r="H1741" s="71" t="s">
        <v>2129</v>
      </c>
      <c r="I1741" s="71" t="s">
        <v>4179</v>
      </c>
    </row>
    <row r="1742" spans="1:9" ht="29" x14ac:dyDescent="0.35">
      <c r="A1742" s="195">
        <v>12</v>
      </c>
      <c r="B1742" s="195">
        <v>107</v>
      </c>
      <c r="C1742" s="195" t="s">
        <v>2221</v>
      </c>
      <c r="D1742" s="195">
        <v>0</v>
      </c>
      <c r="E1742" s="195" t="s">
        <v>373</v>
      </c>
      <c r="F1742" s="71" t="s">
        <v>367</v>
      </c>
      <c r="G1742" s="71" t="s">
        <v>2201</v>
      </c>
      <c r="H1742" s="71" t="s">
        <v>2129</v>
      </c>
      <c r="I1742" s="71" t="s">
        <v>1671</v>
      </c>
    </row>
    <row r="1743" spans="1:9" x14ac:dyDescent="0.35">
      <c r="A1743" s="195">
        <v>12</v>
      </c>
      <c r="B1743" s="195">
        <v>108</v>
      </c>
      <c r="C1743" s="195" t="s">
        <v>2222</v>
      </c>
      <c r="D1743" s="64">
        <v>582690</v>
      </c>
      <c r="E1743" s="195" t="s">
        <v>366</v>
      </c>
      <c r="F1743" s="71" t="s">
        <v>508</v>
      </c>
      <c r="G1743" s="71" t="s">
        <v>2106</v>
      </c>
      <c r="H1743" s="71" t="s">
        <v>363</v>
      </c>
      <c r="I1743" s="71" t="s">
        <v>1374</v>
      </c>
    </row>
    <row r="1744" spans="1:9" ht="29" x14ac:dyDescent="0.35">
      <c r="A1744" s="195">
        <v>12</v>
      </c>
      <c r="B1744" s="195">
        <v>109</v>
      </c>
      <c r="C1744" s="195" t="s">
        <v>2223</v>
      </c>
      <c r="D1744" s="64">
        <v>51740</v>
      </c>
      <c r="E1744" s="195" t="s">
        <v>366</v>
      </c>
      <c r="F1744" s="71" t="s">
        <v>508</v>
      </c>
      <c r="G1744" s="71" t="s">
        <v>2109</v>
      </c>
      <c r="H1744" s="71" t="s">
        <v>363</v>
      </c>
      <c r="I1744" s="71" t="s">
        <v>1374</v>
      </c>
    </row>
    <row r="1745" spans="1:9" ht="29" x14ac:dyDescent="0.35">
      <c r="A1745" s="195">
        <v>12</v>
      </c>
      <c r="B1745" s="195">
        <v>110</v>
      </c>
      <c r="C1745" s="195" t="s">
        <v>2224</v>
      </c>
      <c r="D1745" s="64">
        <v>20105</v>
      </c>
      <c r="E1745" s="195" t="s">
        <v>366</v>
      </c>
      <c r="F1745" s="71" t="s">
        <v>508</v>
      </c>
      <c r="G1745" s="71" t="s">
        <v>2109</v>
      </c>
      <c r="H1745" s="71" t="s">
        <v>2111</v>
      </c>
      <c r="I1745" s="71" t="s">
        <v>1374</v>
      </c>
    </row>
    <row r="1746" spans="1:9" ht="29" x14ac:dyDescent="0.35">
      <c r="A1746" s="195">
        <v>12</v>
      </c>
      <c r="B1746" s="195">
        <v>111</v>
      </c>
      <c r="C1746" s="195" t="s">
        <v>2225</v>
      </c>
      <c r="D1746" s="64">
        <v>4105</v>
      </c>
      <c r="E1746" s="195" t="s">
        <v>373</v>
      </c>
      <c r="F1746" s="71" t="s">
        <v>508</v>
      </c>
      <c r="G1746" s="71" t="s">
        <v>2109</v>
      </c>
      <c r="H1746" s="71" t="s">
        <v>2111</v>
      </c>
      <c r="I1746" s="71" t="s">
        <v>4177</v>
      </c>
    </row>
    <row r="1747" spans="1:9" ht="29" x14ac:dyDescent="0.35">
      <c r="A1747" s="195">
        <v>12</v>
      </c>
      <c r="B1747" s="195">
        <v>112</v>
      </c>
      <c r="C1747" s="195" t="s">
        <v>2226</v>
      </c>
      <c r="D1747" s="64">
        <v>4095</v>
      </c>
      <c r="E1747" s="195" t="s">
        <v>373</v>
      </c>
      <c r="F1747" s="71" t="s">
        <v>508</v>
      </c>
      <c r="G1747" s="71" t="s">
        <v>2109</v>
      </c>
      <c r="H1747" s="71" t="s">
        <v>2111</v>
      </c>
      <c r="I1747" s="71" t="s">
        <v>4178</v>
      </c>
    </row>
    <row r="1748" spans="1:9" ht="29" x14ac:dyDescent="0.35">
      <c r="A1748" s="195">
        <v>12</v>
      </c>
      <c r="B1748" s="195">
        <v>113</v>
      </c>
      <c r="C1748" s="195" t="s">
        <v>2227</v>
      </c>
      <c r="D1748" s="64">
        <v>9715</v>
      </c>
      <c r="E1748" s="195" t="s">
        <v>373</v>
      </c>
      <c r="F1748" s="71" t="s">
        <v>508</v>
      </c>
      <c r="G1748" s="71" t="s">
        <v>2109</v>
      </c>
      <c r="H1748" s="71" t="s">
        <v>2111</v>
      </c>
      <c r="I1748" s="71" t="s">
        <v>4179</v>
      </c>
    </row>
    <row r="1749" spans="1:9" ht="29" x14ac:dyDescent="0.35">
      <c r="A1749" s="195">
        <v>12</v>
      </c>
      <c r="B1749" s="195">
        <v>114</v>
      </c>
      <c r="C1749" s="195" t="s">
        <v>2228</v>
      </c>
      <c r="D1749" s="64">
        <v>2195</v>
      </c>
      <c r="E1749" s="195" t="s">
        <v>373</v>
      </c>
      <c r="F1749" s="71" t="s">
        <v>508</v>
      </c>
      <c r="G1749" s="71" t="s">
        <v>2109</v>
      </c>
      <c r="H1749" s="71" t="s">
        <v>2111</v>
      </c>
      <c r="I1749" s="71" t="s">
        <v>1671</v>
      </c>
    </row>
    <row r="1750" spans="1:9" ht="29" x14ac:dyDescent="0.35">
      <c r="A1750" s="195">
        <v>12</v>
      </c>
      <c r="B1750" s="195">
        <v>115</v>
      </c>
      <c r="C1750" s="195" t="s">
        <v>2229</v>
      </c>
      <c r="D1750" s="64">
        <v>5050</v>
      </c>
      <c r="E1750" s="195" t="s">
        <v>366</v>
      </c>
      <c r="F1750" s="71" t="s">
        <v>508</v>
      </c>
      <c r="G1750" s="71" t="s">
        <v>2109</v>
      </c>
      <c r="H1750" s="71" t="s">
        <v>2117</v>
      </c>
      <c r="I1750" s="71" t="s">
        <v>1374</v>
      </c>
    </row>
    <row r="1751" spans="1:9" ht="29" x14ac:dyDescent="0.35">
      <c r="A1751" s="195">
        <v>12</v>
      </c>
      <c r="B1751" s="195">
        <v>116</v>
      </c>
      <c r="C1751" s="195" t="s">
        <v>2230</v>
      </c>
      <c r="D1751" s="64">
        <v>2220</v>
      </c>
      <c r="E1751" s="195" t="s">
        <v>373</v>
      </c>
      <c r="F1751" s="71" t="s">
        <v>508</v>
      </c>
      <c r="G1751" s="71" t="s">
        <v>2109</v>
      </c>
      <c r="H1751" s="71" t="s">
        <v>2117</v>
      </c>
      <c r="I1751" s="71" t="s">
        <v>4177</v>
      </c>
    </row>
    <row r="1752" spans="1:9" ht="29" x14ac:dyDescent="0.35">
      <c r="A1752" s="195">
        <v>12</v>
      </c>
      <c r="B1752" s="195">
        <v>117</v>
      </c>
      <c r="C1752" s="195" t="s">
        <v>2231</v>
      </c>
      <c r="D1752" s="64">
        <v>1745</v>
      </c>
      <c r="E1752" s="195" t="s">
        <v>373</v>
      </c>
      <c r="F1752" s="71" t="s">
        <v>508</v>
      </c>
      <c r="G1752" s="71" t="s">
        <v>2109</v>
      </c>
      <c r="H1752" s="71" t="s">
        <v>2117</v>
      </c>
      <c r="I1752" s="71" t="s">
        <v>4178</v>
      </c>
    </row>
    <row r="1753" spans="1:9" ht="29" x14ac:dyDescent="0.35">
      <c r="A1753" s="195">
        <v>12</v>
      </c>
      <c r="B1753" s="195">
        <v>118</v>
      </c>
      <c r="C1753" s="195" t="s">
        <v>2232</v>
      </c>
      <c r="D1753" s="64">
        <v>1085</v>
      </c>
      <c r="E1753" s="195" t="s">
        <v>373</v>
      </c>
      <c r="F1753" s="71" t="s">
        <v>508</v>
      </c>
      <c r="G1753" s="71" t="s">
        <v>2109</v>
      </c>
      <c r="H1753" s="71" t="s">
        <v>2117</v>
      </c>
      <c r="I1753" s="71" t="s">
        <v>4179</v>
      </c>
    </row>
    <row r="1754" spans="1:9" ht="29" x14ac:dyDescent="0.35">
      <c r="A1754" s="195">
        <v>12</v>
      </c>
      <c r="B1754" s="195">
        <v>119</v>
      </c>
      <c r="C1754" s="195" t="s">
        <v>2233</v>
      </c>
      <c r="D1754" s="195">
        <v>0</v>
      </c>
      <c r="E1754" s="195" t="s">
        <v>373</v>
      </c>
      <c r="F1754" s="71" t="s">
        <v>508</v>
      </c>
      <c r="G1754" s="71" t="s">
        <v>2109</v>
      </c>
      <c r="H1754" s="71" t="s">
        <v>2117</v>
      </c>
      <c r="I1754" s="71" t="s">
        <v>1671</v>
      </c>
    </row>
    <row r="1755" spans="1:9" ht="29" x14ac:dyDescent="0.35">
      <c r="A1755" s="195">
        <v>12</v>
      </c>
      <c r="B1755" s="195">
        <v>120</v>
      </c>
      <c r="C1755" s="195" t="s">
        <v>2234</v>
      </c>
      <c r="D1755" s="64">
        <v>6165</v>
      </c>
      <c r="E1755" s="195" t="s">
        <v>366</v>
      </c>
      <c r="F1755" s="71" t="s">
        <v>508</v>
      </c>
      <c r="G1755" s="71" t="s">
        <v>2109</v>
      </c>
      <c r="H1755" s="71" t="s">
        <v>2123</v>
      </c>
      <c r="I1755" s="71" t="s">
        <v>1374</v>
      </c>
    </row>
    <row r="1756" spans="1:9" ht="29" x14ac:dyDescent="0.35">
      <c r="A1756" s="195">
        <v>12</v>
      </c>
      <c r="B1756" s="195">
        <v>121</v>
      </c>
      <c r="C1756" s="195" t="s">
        <v>2235</v>
      </c>
      <c r="D1756" s="64">
        <v>3385</v>
      </c>
      <c r="E1756" s="195" t="s">
        <v>373</v>
      </c>
      <c r="F1756" s="71" t="s">
        <v>508</v>
      </c>
      <c r="G1756" s="71" t="s">
        <v>2109</v>
      </c>
      <c r="H1756" s="71" t="s">
        <v>2123</v>
      </c>
      <c r="I1756" s="71" t="s">
        <v>4177</v>
      </c>
    </row>
    <row r="1757" spans="1:9" ht="29" x14ac:dyDescent="0.35">
      <c r="A1757" s="195">
        <v>12</v>
      </c>
      <c r="B1757" s="195">
        <v>122</v>
      </c>
      <c r="C1757" s="195" t="s">
        <v>2236</v>
      </c>
      <c r="D1757" s="64">
        <v>2380</v>
      </c>
      <c r="E1757" s="195" t="s">
        <v>373</v>
      </c>
      <c r="F1757" s="71" t="s">
        <v>508</v>
      </c>
      <c r="G1757" s="71" t="s">
        <v>2109</v>
      </c>
      <c r="H1757" s="71" t="s">
        <v>2123</v>
      </c>
      <c r="I1757" s="71" t="s">
        <v>4178</v>
      </c>
    </row>
    <row r="1758" spans="1:9" ht="29" x14ac:dyDescent="0.35">
      <c r="A1758" s="195">
        <v>12</v>
      </c>
      <c r="B1758" s="195">
        <v>123</v>
      </c>
      <c r="C1758" s="195" t="s">
        <v>2237</v>
      </c>
      <c r="D1758" s="195">
        <v>400</v>
      </c>
      <c r="E1758" s="195" t="s">
        <v>373</v>
      </c>
      <c r="F1758" s="71" t="s">
        <v>508</v>
      </c>
      <c r="G1758" s="71" t="s">
        <v>2109</v>
      </c>
      <c r="H1758" s="71" t="s">
        <v>2123</v>
      </c>
      <c r="I1758" s="71" t="s">
        <v>4179</v>
      </c>
    </row>
    <row r="1759" spans="1:9" ht="29" x14ac:dyDescent="0.35">
      <c r="A1759" s="195">
        <v>12</v>
      </c>
      <c r="B1759" s="195">
        <v>124</v>
      </c>
      <c r="C1759" s="195" t="s">
        <v>2238</v>
      </c>
      <c r="D1759" s="195">
        <v>0</v>
      </c>
      <c r="E1759" s="195" t="s">
        <v>373</v>
      </c>
      <c r="F1759" s="71" t="s">
        <v>508</v>
      </c>
      <c r="G1759" s="71" t="s">
        <v>2109</v>
      </c>
      <c r="H1759" s="71" t="s">
        <v>2123</v>
      </c>
      <c r="I1759" s="71" t="s">
        <v>1671</v>
      </c>
    </row>
    <row r="1760" spans="1:9" ht="29" x14ac:dyDescent="0.35">
      <c r="A1760" s="195">
        <v>12</v>
      </c>
      <c r="B1760" s="195">
        <v>125</v>
      </c>
      <c r="C1760" s="195" t="s">
        <v>2239</v>
      </c>
      <c r="D1760" s="64">
        <v>20420</v>
      </c>
      <c r="E1760" s="195" t="s">
        <v>366</v>
      </c>
      <c r="F1760" s="71" t="s">
        <v>508</v>
      </c>
      <c r="G1760" s="71" t="s">
        <v>2109</v>
      </c>
      <c r="H1760" s="71" t="s">
        <v>2129</v>
      </c>
      <c r="I1760" s="71" t="s">
        <v>1374</v>
      </c>
    </row>
    <row r="1761" spans="1:9" ht="29" x14ac:dyDescent="0.35">
      <c r="A1761" s="195">
        <v>12</v>
      </c>
      <c r="B1761" s="195">
        <v>126</v>
      </c>
      <c r="C1761" s="195" t="s">
        <v>2240</v>
      </c>
      <c r="D1761" s="64">
        <v>18585</v>
      </c>
      <c r="E1761" s="195" t="s">
        <v>373</v>
      </c>
      <c r="F1761" s="71" t="s">
        <v>508</v>
      </c>
      <c r="G1761" s="71" t="s">
        <v>2109</v>
      </c>
      <c r="H1761" s="71" t="s">
        <v>2129</v>
      </c>
      <c r="I1761" s="71" t="s">
        <v>4177</v>
      </c>
    </row>
    <row r="1762" spans="1:9" ht="29" x14ac:dyDescent="0.35">
      <c r="A1762" s="195">
        <v>12</v>
      </c>
      <c r="B1762" s="195">
        <v>127</v>
      </c>
      <c r="C1762" s="195" t="s">
        <v>2241</v>
      </c>
      <c r="D1762" s="64">
        <v>1790</v>
      </c>
      <c r="E1762" s="195" t="s">
        <v>373</v>
      </c>
      <c r="F1762" s="71" t="s">
        <v>508</v>
      </c>
      <c r="G1762" s="71" t="s">
        <v>2109</v>
      </c>
      <c r="H1762" s="71" t="s">
        <v>2129</v>
      </c>
      <c r="I1762" s="71" t="s">
        <v>4178</v>
      </c>
    </row>
    <row r="1763" spans="1:9" ht="29" x14ac:dyDescent="0.35">
      <c r="A1763" s="195">
        <v>12</v>
      </c>
      <c r="B1763" s="195">
        <v>128</v>
      </c>
      <c r="C1763" s="195" t="s">
        <v>2242</v>
      </c>
      <c r="D1763" s="195">
        <v>45</v>
      </c>
      <c r="E1763" s="195" t="s">
        <v>373</v>
      </c>
      <c r="F1763" s="71" t="s">
        <v>508</v>
      </c>
      <c r="G1763" s="71" t="s">
        <v>2109</v>
      </c>
      <c r="H1763" s="71" t="s">
        <v>2129</v>
      </c>
      <c r="I1763" s="71" t="s">
        <v>4179</v>
      </c>
    </row>
    <row r="1764" spans="1:9" ht="29" x14ac:dyDescent="0.35">
      <c r="A1764" s="195">
        <v>12</v>
      </c>
      <c r="B1764" s="195">
        <v>129</v>
      </c>
      <c r="C1764" s="195" t="s">
        <v>2243</v>
      </c>
      <c r="D1764" s="195">
        <v>0</v>
      </c>
      <c r="E1764" s="195" t="s">
        <v>373</v>
      </c>
      <c r="F1764" s="71" t="s">
        <v>508</v>
      </c>
      <c r="G1764" s="71" t="s">
        <v>2109</v>
      </c>
      <c r="H1764" s="71" t="s">
        <v>2129</v>
      </c>
      <c r="I1764" s="71" t="s">
        <v>1671</v>
      </c>
    </row>
    <row r="1765" spans="1:9" ht="29" x14ac:dyDescent="0.35">
      <c r="A1765" s="195">
        <v>12</v>
      </c>
      <c r="B1765" s="195">
        <v>130</v>
      </c>
      <c r="C1765" s="195" t="s">
        <v>2244</v>
      </c>
      <c r="D1765" s="64">
        <v>58695</v>
      </c>
      <c r="E1765" s="195" t="s">
        <v>366</v>
      </c>
      <c r="F1765" s="71" t="s">
        <v>508</v>
      </c>
      <c r="G1765" s="71" t="s">
        <v>2135</v>
      </c>
      <c r="H1765" s="71" t="s">
        <v>363</v>
      </c>
      <c r="I1765" s="71" t="s">
        <v>1374</v>
      </c>
    </row>
    <row r="1766" spans="1:9" ht="29" x14ac:dyDescent="0.35">
      <c r="A1766" s="195">
        <v>12</v>
      </c>
      <c r="B1766" s="195">
        <v>131</v>
      </c>
      <c r="C1766" s="195" t="s">
        <v>2245</v>
      </c>
      <c r="D1766" s="64">
        <v>28190</v>
      </c>
      <c r="E1766" s="195" t="s">
        <v>366</v>
      </c>
      <c r="F1766" s="71" t="s">
        <v>508</v>
      </c>
      <c r="G1766" s="71" t="s">
        <v>2135</v>
      </c>
      <c r="H1766" s="71" t="s">
        <v>2111</v>
      </c>
      <c r="I1766" s="71" t="s">
        <v>1374</v>
      </c>
    </row>
    <row r="1767" spans="1:9" ht="29" x14ac:dyDescent="0.35">
      <c r="A1767" s="195">
        <v>12</v>
      </c>
      <c r="B1767" s="195">
        <v>132</v>
      </c>
      <c r="C1767" s="195" t="s">
        <v>2246</v>
      </c>
      <c r="D1767" s="64">
        <v>6010</v>
      </c>
      <c r="E1767" s="195" t="s">
        <v>373</v>
      </c>
      <c r="F1767" s="71" t="s">
        <v>508</v>
      </c>
      <c r="G1767" s="71" t="s">
        <v>2135</v>
      </c>
      <c r="H1767" s="71" t="s">
        <v>2111</v>
      </c>
      <c r="I1767" s="71" t="s">
        <v>4177</v>
      </c>
    </row>
    <row r="1768" spans="1:9" ht="29" x14ac:dyDescent="0.35">
      <c r="A1768" s="195">
        <v>12</v>
      </c>
      <c r="B1768" s="195">
        <v>133</v>
      </c>
      <c r="C1768" s="195" t="s">
        <v>2247</v>
      </c>
      <c r="D1768" s="64">
        <v>7380</v>
      </c>
      <c r="E1768" s="195" t="s">
        <v>373</v>
      </c>
      <c r="F1768" s="71" t="s">
        <v>508</v>
      </c>
      <c r="G1768" s="71" t="s">
        <v>2135</v>
      </c>
      <c r="H1768" s="71" t="s">
        <v>2111</v>
      </c>
      <c r="I1768" s="71" t="s">
        <v>4178</v>
      </c>
    </row>
    <row r="1769" spans="1:9" ht="29" x14ac:dyDescent="0.35">
      <c r="A1769" s="195">
        <v>12</v>
      </c>
      <c r="B1769" s="195">
        <v>134</v>
      </c>
      <c r="C1769" s="195" t="s">
        <v>2248</v>
      </c>
      <c r="D1769" s="64">
        <v>12245</v>
      </c>
      <c r="E1769" s="195" t="s">
        <v>373</v>
      </c>
      <c r="F1769" s="71" t="s">
        <v>508</v>
      </c>
      <c r="G1769" s="71" t="s">
        <v>2135</v>
      </c>
      <c r="H1769" s="71" t="s">
        <v>2111</v>
      </c>
      <c r="I1769" s="71" t="s">
        <v>4179</v>
      </c>
    </row>
    <row r="1770" spans="1:9" ht="29" x14ac:dyDescent="0.35">
      <c r="A1770" s="195">
        <v>12</v>
      </c>
      <c r="B1770" s="195">
        <v>135</v>
      </c>
      <c r="C1770" s="195" t="s">
        <v>2249</v>
      </c>
      <c r="D1770" s="64">
        <v>2555</v>
      </c>
      <c r="E1770" s="195" t="s">
        <v>373</v>
      </c>
      <c r="F1770" s="71" t="s">
        <v>508</v>
      </c>
      <c r="G1770" s="71" t="s">
        <v>2135</v>
      </c>
      <c r="H1770" s="71" t="s">
        <v>2111</v>
      </c>
      <c r="I1770" s="71" t="s">
        <v>1671</v>
      </c>
    </row>
    <row r="1771" spans="1:9" ht="29" x14ac:dyDescent="0.35">
      <c r="A1771" s="195">
        <v>12</v>
      </c>
      <c r="B1771" s="195">
        <v>136</v>
      </c>
      <c r="C1771" s="195" t="s">
        <v>2250</v>
      </c>
      <c r="D1771" s="64">
        <v>8160</v>
      </c>
      <c r="E1771" s="195" t="s">
        <v>366</v>
      </c>
      <c r="F1771" s="71" t="s">
        <v>508</v>
      </c>
      <c r="G1771" s="71" t="s">
        <v>2135</v>
      </c>
      <c r="H1771" s="71" t="s">
        <v>2117</v>
      </c>
      <c r="I1771" s="71" t="s">
        <v>1374</v>
      </c>
    </row>
    <row r="1772" spans="1:9" ht="29" x14ac:dyDescent="0.35">
      <c r="A1772" s="195">
        <v>12</v>
      </c>
      <c r="B1772" s="195">
        <v>137</v>
      </c>
      <c r="C1772" s="195" t="s">
        <v>2251</v>
      </c>
      <c r="D1772" s="64">
        <v>4250</v>
      </c>
      <c r="E1772" s="195" t="s">
        <v>373</v>
      </c>
      <c r="F1772" s="71" t="s">
        <v>508</v>
      </c>
      <c r="G1772" s="71" t="s">
        <v>2135</v>
      </c>
      <c r="H1772" s="71" t="s">
        <v>2117</v>
      </c>
      <c r="I1772" s="71" t="s">
        <v>4177</v>
      </c>
    </row>
    <row r="1773" spans="1:9" ht="29" x14ac:dyDescent="0.35">
      <c r="A1773" s="195">
        <v>12</v>
      </c>
      <c r="B1773" s="195">
        <v>138</v>
      </c>
      <c r="C1773" s="195" t="s">
        <v>2252</v>
      </c>
      <c r="D1773" s="64">
        <v>2550</v>
      </c>
      <c r="E1773" s="195" t="s">
        <v>373</v>
      </c>
      <c r="F1773" s="71" t="s">
        <v>508</v>
      </c>
      <c r="G1773" s="71" t="s">
        <v>2135</v>
      </c>
      <c r="H1773" s="71" t="s">
        <v>2117</v>
      </c>
      <c r="I1773" s="71" t="s">
        <v>4178</v>
      </c>
    </row>
    <row r="1774" spans="1:9" ht="29" x14ac:dyDescent="0.35">
      <c r="A1774" s="195">
        <v>12</v>
      </c>
      <c r="B1774" s="195">
        <v>139</v>
      </c>
      <c r="C1774" s="195" t="s">
        <v>2253</v>
      </c>
      <c r="D1774" s="64">
        <v>1360</v>
      </c>
      <c r="E1774" s="195" t="s">
        <v>373</v>
      </c>
      <c r="F1774" s="71" t="s">
        <v>508</v>
      </c>
      <c r="G1774" s="71" t="s">
        <v>2135</v>
      </c>
      <c r="H1774" s="71" t="s">
        <v>2117</v>
      </c>
      <c r="I1774" s="71" t="s">
        <v>4179</v>
      </c>
    </row>
    <row r="1775" spans="1:9" ht="29" x14ac:dyDescent="0.35">
      <c r="A1775" s="195">
        <v>12</v>
      </c>
      <c r="B1775" s="195">
        <v>140</v>
      </c>
      <c r="C1775" s="195" t="s">
        <v>2254</v>
      </c>
      <c r="D1775" s="195">
        <v>0</v>
      </c>
      <c r="E1775" s="195" t="s">
        <v>373</v>
      </c>
      <c r="F1775" s="71" t="s">
        <v>508</v>
      </c>
      <c r="G1775" s="71" t="s">
        <v>2135</v>
      </c>
      <c r="H1775" s="71" t="s">
        <v>2117</v>
      </c>
      <c r="I1775" s="71" t="s">
        <v>1671</v>
      </c>
    </row>
    <row r="1776" spans="1:9" ht="29" x14ac:dyDescent="0.35">
      <c r="A1776" s="195">
        <v>12</v>
      </c>
      <c r="B1776" s="195">
        <v>141</v>
      </c>
      <c r="C1776" s="195" t="s">
        <v>2255</v>
      </c>
      <c r="D1776" s="64">
        <v>8250</v>
      </c>
      <c r="E1776" s="195" t="s">
        <v>366</v>
      </c>
      <c r="F1776" s="71" t="s">
        <v>508</v>
      </c>
      <c r="G1776" s="71" t="s">
        <v>2135</v>
      </c>
      <c r="H1776" s="71" t="s">
        <v>2123</v>
      </c>
      <c r="I1776" s="71" t="s">
        <v>1374</v>
      </c>
    </row>
    <row r="1777" spans="1:9" ht="29" x14ac:dyDescent="0.35">
      <c r="A1777" s="195">
        <v>12</v>
      </c>
      <c r="B1777" s="195">
        <v>142</v>
      </c>
      <c r="C1777" s="195" t="s">
        <v>2256</v>
      </c>
      <c r="D1777" s="64">
        <v>5780</v>
      </c>
      <c r="E1777" s="195" t="s">
        <v>373</v>
      </c>
      <c r="F1777" s="71" t="s">
        <v>508</v>
      </c>
      <c r="G1777" s="71" t="s">
        <v>2135</v>
      </c>
      <c r="H1777" s="71" t="s">
        <v>2123</v>
      </c>
      <c r="I1777" s="71" t="s">
        <v>4177</v>
      </c>
    </row>
    <row r="1778" spans="1:9" ht="29" x14ac:dyDescent="0.35">
      <c r="A1778" s="195">
        <v>12</v>
      </c>
      <c r="B1778" s="195">
        <v>143</v>
      </c>
      <c r="C1778" s="195" t="s">
        <v>2257</v>
      </c>
      <c r="D1778" s="64">
        <v>2310</v>
      </c>
      <c r="E1778" s="195" t="s">
        <v>373</v>
      </c>
      <c r="F1778" s="71" t="s">
        <v>508</v>
      </c>
      <c r="G1778" s="71" t="s">
        <v>2135</v>
      </c>
      <c r="H1778" s="71" t="s">
        <v>2123</v>
      </c>
      <c r="I1778" s="71" t="s">
        <v>4178</v>
      </c>
    </row>
    <row r="1779" spans="1:9" ht="29" x14ac:dyDescent="0.35">
      <c r="A1779" s="195">
        <v>12</v>
      </c>
      <c r="B1779" s="195">
        <v>144</v>
      </c>
      <c r="C1779" s="195" t="s">
        <v>2258</v>
      </c>
      <c r="D1779" s="195">
        <v>165</v>
      </c>
      <c r="E1779" s="195" t="s">
        <v>373</v>
      </c>
      <c r="F1779" s="71" t="s">
        <v>508</v>
      </c>
      <c r="G1779" s="71" t="s">
        <v>2135</v>
      </c>
      <c r="H1779" s="71" t="s">
        <v>2123</v>
      </c>
      <c r="I1779" s="71" t="s">
        <v>4179</v>
      </c>
    </row>
    <row r="1780" spans="1:9" ht="29" x14ac:dyDescent="0.35">
      <c r="A1780" s="195">
        <v>12</v>
      </c>
      <c r="B1780" s="195">
        <v>145</v>
      </c>
      <c r="C1780" s="195" t="s">
        <v>2259</v>
      </c>
      <c r="D1780" s="195">
        <v>0</v>
      </c>
      <c r="E1780" s="195" t="s">
        <v>373</v>
      </c>
      <c r="F1780" s="71" t="s">
        <v>508</v>
      </c>
      <c r="G1780" s="71" t="s">
        <v>2135</v>
      </c>
      <c r="H1780" s="71" t="s">
        <v>2123</v>
      </c>
      <c r="I1780" s="71" t="s">
        <v>1671</v>
      </c>
    </row>
    <row r="1781" spans="1:9" ht="29" x14ac:dyDescent="0.35">
      <c r="A1781" s="195">
        <v>12</v>
      </c>
      <c r="B1781" s="195">
        <v>146</v>
      </c>
      <c r="C1781" s="195" t="s">
        <v>2260</v>
      </c>
      <c r="D1781" s="64">
        <v>14090</v>
      </c>
      <c r="E1781" s="195" t="s">
        <v>366</v>
      </c>
      <c r="F1781" s="71" t="s">
        <v>508</v>
      </c>
      <c r="G1781" s="71" t="s">
        <v>2135</v>
      </c>
      <c r="H1781" s="71" t="s">
        <v>2129</v>
      </c>
      <c r="I1781" s="71" t="s">
        <v>1374</v>
      </c>
    </row>
    <row r="1782" spans="1:9" ht="29" x14ac:dyDescent="0.35">
      <c r="A1782" s="195">
        <v>12</v>
      </c>
      <c r="B1782" s="195">
        <v>147</v>
      </c>
      <c r="C1782" s="195" t="s">
        <v>2261</v>
      </c>
      <c r="D1782" s="64">
        <v>13500</v>
      </c>
      <c r="E1782" s="195" t="s">
        <v>373</v>
      </c>
      <c r="F1782" s="71" t="s">
        <v>508</v>
      </c>
      <c r="G1782" s="71" t="s">
        <v>2135</v>
      </c>
      <c r="H1782" s="71" t="s">
        <v>2129</v>
      </c>
      <c r="I1782" s="71" t="s">
        <v>4177</v>
      </c>
    </row>
    <row r="1783" spans="1:9" ht="29" x14ac:dyDescent="0.35">
      <c r="A1783" s="195">
        <v>12</v>
      </c>
      <c r="B1783" s="195">
        <v>148</v>
      </c>
      <c r="C1783" s="195" t="s">
        <v>2262</v>
      </c>
      <c r="D1783" s="195">
        <v>590</v>
      </c>
      <c r="E1783" s="195" t="s">
        <v>373</v>
      </c>
      <c r="F1783" s="71" t="s">
        <v>508</v>
      </c>
      <c r="G1783" s="71" t="s">
        <v>2135</v>
      </c>
      <c r="H1783" s="71" t="s">
        <v>2129</v>
      </c>
      <c r="I1783" s="71" t="s">
        <v>4178</v>
      </c>
    </row>
    <row r="1784" spans="1:9" ht="29" x14ac:dyDescent="0.35">
      <c r="A1784" s="195">
        <v>12</v>
      </c>
      <c r="B1784" s="195">
        <v>149</v>
      </c>
      <c r="C1784" s="195" t="s">
        <v>2263</v>
      </c>
      <c r="D1784" s="195">
        <v>0</v>
      </c>
      <c r="E1784" s="195" t="s">
        <v>373</v>
      </c>
      <c r="F1784" s="71" t="s">
        <v>508</v>
      </c>
      <c r="G1784" s="71" t="s">
        <v>2135</v>
      </c>
      <c r="H1784" s="71" t="s">
        <v>2129</v>
      </c>
      <c r="I1784" s="71" t="s">
        <v>4179</v>
      </c>
    </row>
    <row r="1785" spans="1:9" ht="29" x14ac:dyDescent="0.35">
      <c r="A1785" s="195">
        <v>12</v>
      </c>
      <c r="B1785" s="195">
        <v>150</v>
      </c>
      <c r="C1785" s="195" t="s">
        <v>2264</v>
      </c>
      <c r="D1785" s="195">
        <v>0</v>
      </c>
      <c r="E1785" s="195" t="s">
        <v>373</v>
      </c>
      <c r="F1785" s="71" t="s">
        <v>508</v>
      </c>
      <c r="G1785" s="71" t="s">
        <v>2135</v>
      </c>
      <c r="H1785" s="71" t="s">
        <v>2129</v>
      </c>
      <c r="I1785" s="71" t="s">
        <v>1671</v>
      </c>
    </row>
    <row r="1786" spans="1:9" ht="29" x14ac:dyDescent="0.35">
      <c r="A1786" s="195">
        <v>12</v>
      </c>
      <c r="B1786" s="195">
        <v>151</v>
      </c>
      <c r="C1786" s="195" t="s">
        <v>2265</v>
      </c>
      <c r="D1786" s="64">
        <v>111900</v>
      </c>
      <c r="E1786" s="195" t="s">
        <v>366</v>
      </c>
      <c r="F1786" s="71" t="s">
        <v>508</v>
      </c>
      <c r="G1786" s="71" t="s">
        <v>2157</v>
      </c>
      <c r="H1786" s="71" t="s">
        <v>363</v>
      </c>
      <c r="I1786" s="71" t="s">
        <v>1374</v>
      </c>
    </row>
    <row r="1787" spans="1:9" ht="29" x14ac:dyDescent="0.35">
      <c r="A1787" s="195">
        <v>12</v>
      </c>
      <c r="B1787" s="195">
        <v>152</v>
      </c>
      <c r="C1787" s="195" t="s">
        <v>2266</v>
      </c>
      <c r="D1787" s="64">
        <v>56190</v>
      </c>
      <c r="E1787" s="195" t="s">
        <v>366</v>
      </c>
      <c r="F1787" s="71" t="s">
        <v>508</v>
      </c>
      <c r="G1787" s="71" t="s">
        <v>2157</v>
      </c>
      <c r="H1787" s="71" t="s">
        <v>2111</v>
      </c>
      <c r="I1787" s="71" t="s">
        <v>1374</v>
      </c>
    </row>
    <row r="1788" spans="1:9" ht="29" x14ac:dyDescent="0.35">
      <c r="A1788" s="195">
        <v>12</v>
      </c>
      <c r="B1788" s="195">
        <v>153</v>
      </c>
      <c r="C1788" s="195" t="s">
        <v>2267</v>
      </c>
      <c r="D1788" s="64">
        <v>11085</v>
      </c>
      <c r="E1788" s="195" t="s">
        <v>373</v>
      </c>
      <c r="F1788" s="71" t="s">
        <v>508</v>
      </c>
      <c r="G1788" s="71" t="s">
        <v>2157</v>
      </c>
      <c r="H1788" s="71" t="s">
        <v>2111</v>
      </c>
      <c r="I1788" s="71" t="s">
        <v>4177</v>
      </c>
    </row>
    <row r="1789" spans="1:9" ht="29" x14ac:dyDescent="0.35">
      <c r="A1789" s="195">
        <v>12</v>
      </c>
      <c r="B1789" s="195">
        <v>154</v>
      </c>
      <c r="C1789" s="195" t="s">
        <v>2268</v>
      </c>
      <c r="D1789" s="64">
        <v>15090</v>
      </c>
      <c r="E1789" s="195" t="s">
        <v>373</v>
      </c>
      <c r="F1789" s="71" t="s">
        <v>508</v>
      </c>
      <c r="G1789" s="71" t="s">
        <v>2157</v>
      </c>
      <c r="H1789" s="71" t="s">
        <v>2111</v>
      </c>
      <c r="I1789" s="71" t="s">
        <v>4178</v>
      </c>
    </row>
    <row r="1790" spans="1:9" ht="29" x14ac:dyDescent="0.35">
      <c r="A1790" s="195">
        <v>12</v>
      </c>
      <c r="B1790" s="195">
        <v>155</v>
      </c>
      <c r="C1790" s="195" t="s">
        <v>2269</v>
      </c>
      <c r="D1790" s="64">
        <v>25930</v>
      </c>
      <c r="E1790" s="195" t="s">
        <v>373</v>
      </c>
      <c r="F1790" s="71" t="s">
        <v>508</v>
      </c>
      <c r="G1790" s="71" t="s">
        <v>2157</v>
      </c>
      <c r="H1790" s="71" t="s">
        <v>2111</v>
      </c>
      <c r="I1790" s="71" t="s">
        <v>4179</v>
      </c>
    </row>
    <row r="1791" spans="1:9" ht="29" x14ac:dyDescent="0.35">
      <c r="A1791" s="195">
        <v>12</v>
      </c>
      <c r="B1791" s="195">
        <v>156</v>
      </c>
      <c r="C1791" s="195" t="s">
        <v>2270</v>
      </c>
      <c r="D1791" s="64">
        <v>4090</v>
      </c>
      <c r="E1791" s="195" t="s">
        <v>373</v>
      </c>
      <c r="F1791" s="71" t="s">
        <v>508</v>
      </c>
      <c r="G1791" s="71" t="s">
        <v>2157</v>
      </c>
      <c r="H1791" s="71" t="s">
        <v>2111</v>
      </c>
      <c r="I1791" s="71" t="s">
        <v>1671</v>
      </c>
    </row>
    <row r="1792" spans="1:9" ht="29" x14ac:dyDescent="0.35">
      <c r="A1792" s="195">
        <v>12</v>
      </c>
      <c r="B1792" s="195">
        <v>157</v>
      </c>
      <c r="C1792" s="195" t="s">
        <v>2271</v>
      </c>
      <c r="D1792" s="64">
        <v>19340</v>
      </c>
      <c r="E1792" s="195" t="s">
        <v>366</v>
      </c>
      <c r="F1792" s="71" t="s">
        <v>508</v>
      </c>
      <c r="G1792" s="71" t="s">
        <v>2157</v>
      </c>
      <c r="H1792" s="71" t="s">
        <v>2117</v>
      </c>
      <c r="I1792" s="71" t="s">
        <v>1374</v>
      </c>
    </row>
    <row r="1793" spans="1:9" ht="29" x14ac:dyDescent="0.35">
      <c r="A1793" s="195">
        <v>12</v>
      </c>
      <c r="B1793" s="195">
        <v>158</v>
      </c>
      <c r="C1793" s="195" t="s">
        <v>2272</v>
      </c>
      <c r="D1793" s="64">
        <v>12220</v>
      </c>
      <c r="E1793" s="195" t="s">
        <v>373</v>
      </c>
      <c r="F1793" s="71" t="s">
        <v>508</v>
      </c>
      <c r="G1793" s="71" t="s">
        <v>2157</v>
      </c>
      <c r="H1793" s="71" t="s">
        <v>2117</v>
      </c>
      <c r="I1793" s="71" t="s">
        <v>4177</v>
      </c>
    </row>
    <row r="1794" spans="1:9" ht="29" x14ac:dyDescent="0.35">
      <c r="A1794" s="195">
        <v>12</v>
      </c>
      <c r="B1794" s="195">
        <v>159</v>
      </c>
      <c r="C1794" s="195" t="s">
        <v>2273</v>
      </c>
      <c r="D1794" s="64">
        <v>6495</v>
      </c>
      <c r="E1794" s="195" t="s">
        <v>373</v>
      </c>
      <c r="F1794" s="71" t="s">
        <v>508</v>
      </c>
      <c r="G1794" s="71" t="s">
        <v>2157</v>
      </c>
      <c r="H1794" s="71" t="s">
        <v>2117</v>
      </c>
      <c r="I1794" s="71" t="s">
        <v>4178</v>
      </c>
    </row>
    <row r="1795" spans="1:9" ht="29" x14ac:dyDescent="0.35">
      <c r="A1795" s="195">
        <v>12</v>
      </c>
      <c r="B1795" s="195">
        <v>160</v>
      </c>
      <c r="C1795" s="195" t="s">
        <v>2274</v>
      </c>
      <c r="D1795" s="64">
        <v>630</v>
      </c>
      <c r="E1795" s="195" t="s">
        <v>373</v>
      </c>
      <c r="F1795" s="71" t="s">
        <v>508</v>
      </c>
      <c r="G1795" s="71" t="s">
        <v>2157</v>
      </c>
      <c r="H1795" s="71" t="s">
        <v>2117</v>
      </c>
      <c r="I1795" s="71" t="s">
        <v>4179</v>
      </c>
    </row>
    <row r="1796" spans="1:9" ht="29" x14ac:dyDescent="0.35">
      <c r="A1796" s="195">
        <v>12</v>
      </c>
      <c r="B1796" s="195">
        <v>161</v>
      </c>
      <c r="C1796" s="195" t="s">
        <v>2275</v>
      </c>
      <c r="D1796" s="195">
        <v>0</v>
      </c>
      <c r="E1796" s="195" t="s">
        <v>373</v>
      </c>
      <c r="F1796" s="71" t="s">
        <v>508</v>
      </c>
      <c r="G1796" s="71" t="s">
        <v>2157</v>
      </c>
      <c r="H1796" s="71" t="s">
        <v>2117</v>
      </c>
      <c r="I1796" s="71" t="s">
        <v>1671</v>
      </c>
    </row>
    <row r="1797" spans="1:9" ht="29" x14ac:dyDescent="0.35">
      <c r="A1797" s="195">
        <v>12</v>
      </c>
      <c r="B1797" s="195">
        <v>162</v>
      </c>
      <c r="C1797" s="195" t="s">
        <v>2276</v>
      </c>
      <c r="D1797" s="64">
        <v>16335</v>
      </c>
      <c r="E1797" s="195" t="s">
        <v>366</v>
      </c>
      <c r="F1797" s="71" t="s">
        <v>508</v>
      </c>
      <c r="G1797" s="71" t="s">
        <v>2157</v>
      </c>
      <c r="H1797" s="71" t="s">
        <v>2123</v>
      </c>
      <c r="I1797" s="71" t="s">
        <v>1374</v>
      </c>
    </row>
    <row r="1798" spans="1:9" ht="29" x14ac:dyDescent="0.35">
      <c r="A1798" s="195">
        <v>12</v>
      </c>
      <c r="B1798" s="195">
        <v>163</v>
      </c>
      <c r="C1798" s="195" t="s">
        <v>2277</v>
      </c>
      <c r="D1798" s="64">
        <v>13895</v>
      </c>
      <c r="E1798" s="195" t="s">
        <v>373</v>
      </c>
      <c r="F1798" s="71" t="s">
        <v>508</v>
      </c>
      <c r="G1798" s="71" t="s">
        <v>2157</v>
      </c>
      <c r="H1798" s="71" t="s">
        <v>2123</v>
      </c>
      <c r="I1798" s="71" t="s">
        <v>4177</v>
      </c>
    </row>
    <row r="1799" spans="1:9" ht="29" x14ac:dyDescent="0.35">
      <c r="A1799" s="195">
        <v>12</v>
      </c>
      <c r="B1799" s="195">
        <v>164</v>
      </c>
      <c r="C1799" s="195" t="s">
        <v>2278</v>
      </c>
      <c r="D1799" s="64">
        <v>2350</v>
      </c>
      <c r="E1799" s="195" t="s">
        <v>373</v>
      </c>
      <c r="F1799" s="71" t="s">
        <v>508</v>
      </c>
      <c r="G1799" s="71" t="s">
        <v>2157</v>
      </c>
      <c r="H1799" s="71" t="s">
        <v>2123</v>
      </c>
      <c r="I1799" s="71" t="s">
        <v>4178</v>
      </c>
    </row>
    <row r="1800" spans="1:9" ht="29" x14ac:dyDescent="0.35">
      <c r="A1800" s="195">
        <v>12</v>
      </c>
      <c r="B1800" s="195">
        <v>165</v>
      </c>
      <c r="C1800" s="195" t="s">
        <v>2279</v>
      </c>
      <c r="D1800" s="195">
        <v>85</v>
      </c>
      <c r="E1800" s="195" t="s">
        <v>373</v>
      </c>
      <c r="F1800" s="71" t="s">
        <v>508</v>
      </c>
      <c r="G1800" s="71" t="s">
        <v>2157</v>
      </c>
      <c r="H1800" s="71" t="s">
        <v>2123</v>
      </c>
      <c r="I1800" s="71" t="s">
        <v>4179</v>
      </c>
    </row>
    <row r="1801" spans="1:9" ht="29" x14ac:dyDescent="0.35">
      <c r="A1801" s="195">
        <v>12</v>
      </c>
      <c r="B1801" s="195">
        <v>166</v>
      </c>
      <c r="C1801" s="195" t="s">
        <v>2280</v>
      </c>
      <c r="D1801" s="195">
        <v>0</v>
      </c>
      <c r="E1801" s="195" t="s">
        <v>373</v>
      </c>
      <c r="F1801" s="71" t="s">
        <v>508</v>
      </c>
      <c r="G1801" s="71" t="s">
        <v>2157</v>
      </c>
      <c r="H1801" s="71" t="s">
        <v>2123</v>
      </c>
      <c r="I1801" s="71" t="s">
        <v>1671</v>
      </c>
    </row>
    <row r="1802" spans="1:9" ht="29" x14ac:dyDescent="0.35">
      <c r="A1802" s="195">
        <v>12</v>
      </c>
      <c r="B1802" s="195">
        <v>167</v>
      </c>
      <c r="C1802" s="195" t="s">
        <v>2281</v>
      </c>
      <c r="D1802" s="64">
        <v>20035</v>
      </c>
      <c r="E1802" s="195" t="s">
        <v>366</v>
      </c>
      <c r="F1802" s="71" t="s">
        <v>508</v>
      </c>
      <c r="G1802" s="71" t="s">
        <v>2157</v>
      </c>
      <c r="H1802" s="71" t="s">
        <v>2129</v>
      </c>
      <c r="I1802" s="71" t="s">
        <v>1374</v>
      </c>
    </row>
    <row r="1803" spans="1:9" ht="29" x14ac:dyDescent="0.35">
      <c r="A1803" s="195">
        <v>12</v>
      </c>
      <c r="B1803" s="195">
        <v>168</v>
      </c>
      <c r="C1803" s="195" t="s">
        <v>2282</v>
      </c>
      <c r="D1803" s="64">
        <v>19600</v>
      </c>
      <c r="E1803" s="195" t="s">
        <v>373</v>
      </c>
      <c r="F1803" s="71" t="s">
        <v>508</v>
      </c>
      <c r="G1803" s="71" t="s">
        <v>2157</v>
      </c>
      <c r="H1803" s="71" t="s">
        <v>2129</v>
      </c>
      <c r="I1803" s="71" t="s">
        <v>4177</v>
      </c>
    </row>
    <row r="1804" spans="1:9" ht="29" x14ac:dyDescent="0.35">
      <c r="A1804" s="195">
        <v>12</v>
      </c>
      <c r="B1804" s="195">
        <v>169</v>
      </c>
      <c r="C1804" s="195" t="s">
        <v>2283</v>
      </c>
      <c r="D1804" s="195">
        <v>400</v>
      </c>
      <c r="E1804" s="195" t="s">
        <v>373</v>
      </c>
      <c r="F1804" s="71" t="s">
        <v>508</v>
      </c>
      <c r="G1804" s="71" t="s">
        <v>2157</v>
      </c>
      <c r="H1804" s="71" t="s">
        <v>2129</v>
      </c>
      <c r="I1804" s="71" t="s">
        <v>4178</v>
      </c>
    </row>
    <row r="1805" spans="1:9" ht="29" x14ac:dyDescent="0.35">
      <c r="A1805" s="195">
        <v>12</v>
      </c>
      <c r="B1805" s="195">
        <v>170</v>
      </c>
      <c r="C1805" s="195" t="s">
        <v>2284</v>
      </c>
      <c r="D1805" s="195">
        <v>35</v>
      </c>
      <c r="E1805" s="195" t="s">
        <v>373</v>
      </c>
      <c r="F1805" s="71" t="s">
        <v>508</v>
      </c>
      <c r="G1805" s="71" t="s">
        <v>2157</v>
      </c>
      <c r="H1805" s="71" t="s">
        <v>2129</v>
      </c>
      <c r="I1805" s="71" t="s">
        <v>4179</v>
      </c>
    </row>
    <row r="1806" spans="1:9" ht="29" x14ac:dyDescent="0.35">
      <c r="A1806" s="195">
        <v>12</v>
      </c>
      <c r="B1806" s="195">
        <v>171</v>
      </c>
      <c r="C1806" s="195" t="s">
        <v>2285</v>
      </c>
      <c r="D1806" s="195">
        <v>0</v>
      </c>
      <c r="E1806" s="195" t="s">
        <v>373</v>
      </c>
      <c r="F1806" s="71" t="s">
        <v>508</v>
      </c>
      <c r="G1806" s="71" t="s">
        <v>2157</v>
      </c>
      <c r="H1806" s="71" t="s">
        <v>2129</v>
      </c>
      <c r="I1806" s="71" t="s">
        <v>1671</v>
      </c>
    </row>
    <row r="1807" spans="1:9" ht="29" x14ac:dyDescent="0.35">
      <c r="A1807" s="195">
        <v>12</v>
      </c>
      <c r="B1807" s="195">
        <v>172</v>
      </c>
      <c r="C1807" s="195" t="s">
        <v>2286</v>
      </c>
      <c r="D1807" s="64">
        <v>105215</v>
      </c>
      <c r="E1807" s="195" t="s">
        <v>366</v>
      </c>
      <c r="F1807" s="71" t="s">
        <v>508</v>
      </c>
      <c r="G1807" s="71" t="s">
        <v>2179</v>
      </c>
      <c r="H1807" s="71" t="s">
        <v>363</v>
      </c>
      <c r="I1807" s="71" t="s">
        <v>1374</v>
      </c>
    </row>
    <row r="1808" spans="1:9" ht="29" x14ac:dyDescent="0.35">
      <c r="A1808" s="195">
        <v>12</v>
      </c>
      <c r="B1808" s="195">
        <v>173</v>
      </c>
      <c r="C1808" s="195" t="s">
        <v>2287</v>
      </c>
      <c r="D1808" s="64">
        <v>56000</v>
      </c>
      <c r="E1808" s="195" t="s">
        <v>366</v>
      </c>
      <c r="F1808" s="71" t="s">
        <v>508</v>
      </c>
      <c r="G1808" s="71" t="s">
        <v>2179</v>
      </c>
      <c r="H1808" s="71" t="s">
        <v>2111</v>
      </c>
      <c r="I1808" s="71" t="s">
        <v>1374</v>
      </c>
    </row>
    <row r="1809" spans="1:9" ht="29" x14ac:dyDescent="0.35">
      <c r="A1809" s="195">
        <v>12</v>
      </c>
      <c r="B1809" s="195">
        <v>174</v>
      </c>
      <c r="C1809" s="195" t="s">
        <v>2288</v>
      </c>
      <c r="D1809" s="64">
        <v>9455</v>
      </c>
      <c r="E1809" s="195" t="s">
        <v>373</v>
      </c>
      <c r="F1809" s="71" t="s">
        <v>508</v>
      </c>
      <c r="G1809" s="71" t="s">
        <v>2179</v>
      </c>
      <c r="H1809" s="71" t="s">
        <v>2111</v>
      </c>
      <c r="I1809" s="71" t="s">
        <v>4177</v>
      </c>
    </row>
    <row r="1810" spans="1:9" ht="29" x14ac:dyDescent="0.35">
      <c r="A1810" s="195">
        <v>12</v>
      </c>
      <c r="B1810" s="195">
        <v>175</v>
      </c>
      <c r="C1810" s="195" t="s">
        <v>2289</v>
      </c>
      <c r="D1810" s="64">
        <v>14605</v>
      </c>
      <c r="E1810" s="195" t="s">
        <v>373</v>
      </c>
      <c r="F1810" s="71" t="s">
        <v>508</v>
      </c>
      <c r="G1810" s="71" t="s">
        <v>2179</v>
      </c>
      <c r="H1810" s="71" t="s">
        <v>2111</v>
      </c>
      <c r="I1810" s="71" t="s">
        <v>4178</v>
      </c>
    </row>
    <row r="1811" spans="1:9" ht="29" x14ac:dyDescent="0.35">
      <c r="A1811" s="195">
        <v>12</v>
      </c>
      <c r="B1811" s="195">
        <v>176</v>
      </c>
      <c r="C1811" s="195" t="s">
        <v>2290</v>
      </c>
      <c r="D1811" s="64">
        <v>27870</v>
      </c>
      <c r="E1811" s="195" t="s">
        <v>373</v>
      </c>
      <c r="F1811" s="71" t="s">
        <v>508</v>
      </c>
      <c r="G1811" s="71" t="s">
        <v>2179</v>
      </c>
      <c r="H1811" s="71" t="s">
        <v>2111</v>
      </c>
      <c r="I1811" s="71" t="s">
        <v>4179</v>
      </c>
    </row>
    <row r="1812" spans="1:9" ht="29" x14ac:dyDescent="0.35">
      <c r="A1812" s="195">
        <v>12</v>
      </c>
      <c r="B1812" s="195">
        <v>177</v>
      </c>
      <c r="C1812" s="195" t="s">
        <v>2291</v>
      </c>
      <c r="D1812" s="64">
        <v>4070</v>
      </c>
      <c r="E1812" s="195" t="s">
        <v>373</v>
      </c>
      <c r="F1812" s="71" t="s">
        <v>508</v>
      </c>
      <c r="G1812" s="71" t="s">
        <v>2179</v>
      </c>
      <c r="H1812" s="71" t="s">
        <v>2111</v>
      </c>
      <c r="I1812" s="71" t="s">
        <v>1671</v>
      </c>
    </row>
    <row r="1813" spans="1:9" ht="29" x14ac:dyDescent="0.35">
      <c r="A1813" s="195">
        <v>12</v>
      </c>
      <c r="B1813" s="195">
        <v>178</v>
      </c>
      <c r="C1813" s="195" t="s">
        <v>2292</v>
      </c>
      <c r="D1813" s="64">
        <v>19570</v>
      </c>
      <c r="E1813" s="195" t="s">
        <v>366</v>
      </c>
      <c r="F1813" s="71" t="s">
        <v>508</v>
      </c>
      <c r="G1813" s="71" t="s">
        <v>2179</v>
      </c>
      <c r="H1813" s="71" t="s">
        <v>2117</v>
      </c>
      <c r="I1813" s="71" t="s">
        <v>1374</v>
      </c>
    </row>
    <row r="1814" spans="1:9" ht="29" x14ac:dyDescent="0.35">
      <c r="A1814" s="195">
        <v>12</v>
      </c>
      <c r="B1814" s="195">
        <v>179</v>
      </c>
      <c r="C1814" s="195" t="s">
        <v>2293</v>
      </c>
      <c r="D1814" s="64">
        <v>13465</v>
      </c>
      <c r="E1814" s="195" t="s">
        <v>373</v>
      </c>
      <c r="F1814" s="71" t="s">
        <v>508</v>
      </c>
      <c r="G1814" s="71" t="s">
        <v>2179</v>
      </c>
      <c r="H1814" s="71" t="s">
        <v>2117</v>
      </c>
      <c r="I1814" s="71" t="s">
        <v>4177</v>
      </c>
    </row>
    <row r="1815" spans="1:9" ht="29" x14ac:dyDescent="0.35">
      <c r="A1815" s="195">
        <v>12</v>
      </c>
      <c r="B1815" s="195">
        <v>180</v>
      </c>
      <c r="C1815" s="195" t="s">
        <v>2294</v>
      </c>
      <c r="D1815" s="64">
        <v>5455</v>
      </c>
      <c r="E1815" s="195" t="s">
        <v>373</v>
      </c>
      <c r="F1815" s="71" t="s">
        <v>508</v>
      </c>
      <c r="G1815" s="71" t="s">
        <v>2179</v>
      </c>
      <c r="H1815" s="71" t="s">
        <v>2117</v>
      </c>
      <c r="I1815" s="71" t="s">
        <v>4178</v>
      </c>
    </row>
    <row r="1816" spans="1:9" ht="29" x14ac:dyDescent="0.35">
      <c r="A1816" s="195">
        <v>12</v>
      </c>
      <c r="B1816" s="195">
        <v>181</v>
      </c>
      <c r="C1816" s="195" t="s">
        <v>2295</v>
      </c>
      <c r="D1816" s="64">
        <v>650</v>
      </c>
      <c r="E1816" s="195" t="s">
        <v>373</v>
      </c>
      <c r="F1816" s="71" t="s">
        <v>508</v>
      </c>
      <c r="G1816" s="71" t="s">
        <v>2179</v>
      </c>
      <c r="H1816" s="71" t="s">
        <v>2117</v>
      </c>
      <c r="I1816" s="71" t="s">
        <v>4179</v>
      </c>
    </row>
    <row r="1817" spans="1:9" ht="29" x14ac:dyDescent="0.35">
      <c r="A1817" s="195">
        <v>12</v>
      </c>
      <c r="B1817" s="195">
        <v>182</v>
      </c>
      <c r="C1817" s="195" t="s">
        <v>2296</v>
      </c>
      <c r="D1817" s="195">
        <v>0</v>
      </c>
      <c r="E1817" s="195" t="s">
        <v>373</v>
      </c>
      <c r="F1817" s="71" t="s">
        <v>508</v>
      </c>
      <c r="G1817" s="71" t="s">
        <v>2179</v>
      </c>
      <c r="H1817" s="71" t="s">
        <v>2117</v>
      </c>
      <c r="I1817" s="71" t="s">
        <v>1671</v>
      </c>
    </row>
    <row r="1818" spans="1:9" ht="29" x14ac:dyDescent="0.35">
      <c r="A1818" s="195">
        <v>12</v>
      </c>
      <c r="B1818" s="195">
        <v>183</v>
      </c>
      <c r="C1818" s="195" t="s">
        <v>2297</v>
      </c>
      <c r="D1818" s="64">
        <v>14745</v>
      </c>
      <c r="E1818" s="195" t="s">
        <v>366</v>
      </c>
      <c r="F1818" s="71" t="s">
        <v>508</v>
      </c>
      <c r="G1818" s="71" t="s">
        <v>2179</v>
      </c>
      <c r="H1818" s="71" t="s">
        <v>2123</v>
      </c>
      <c r="I1818" s="71" t="s">
        <v>1374</v>
      </c>
    </row>
    <row r="1819" spans="1:9" ht="29" x14ac:dyDescent="0.35">
      <c r="A1819" s="195">
        <v>12</v>
      </c>
      <c r="B1819" s="195">
        <v>184</v>
      </c>
      <c r="C1819" s="195" t="s">
        <v>2298</v>
      </c>
      <c r="D1819" s="64">
        <v>13315</v>
      </c>
      <c r="E1819" s="195" t="s">
        <v>373</v>
      </c>
      <c r="F1819" s="71" t="s">
        <v>508</v>
      </c>
      <c r="G1819" s="71" t="s">
        <v>2179</v>
      </c>
      <c r="H1819" s="71" t="s">
        <v>2123</v>
      </c>
      <c r="I1819" s="71" t="s">
        <v>4177</v>
      </c>
    </row>
    <row r="1820" spans="1:9" ht="29" x14ac:dyDescent="0.35">
      <c r="A1820" s="195">
        <v>12</v>
      </c>
      <c r="B1820" s="195">
        <v>185</v>
      </c>
      <c r="C1820" s="195" t="s">
        <v>2299</v>
      </c>
      <c r="D1820" s="64">
        <v>1365</v>
      </c>
      <c r="E1820" s="195" t="s">
        <v>373</v>
      </c>
      <c r="F1820" s="71" t="s">
        <v>508</v>
      </c>
      <c r="G1820" s="71" t="s">
        <v>2179</v>
      </c>
      <c r="H1820" s="71" t="s">
        <v>2123</v>
      </c>
      <c r="I1820" s="71" t="s">
        <v>4178</v>
      </c>
    </row>
    <row r="1821" spans="1:9" ht="29" x14ac:dyDescent="0.35">
      <c r="A1821" s="195">
        <v>12</v>
      </c>
      <c r="B1821" s="195">
        <v>186</v>
      </c>
      <c r="C1821" s="195" t="s">
        <v>2300</v>
      </c>
      <c r="D1821" s="195">
        <v>60</v>
      </c>
      <c r="E1821" s="195" t="s">
        <v>373</v>
      </c>
      <c r="F1821" s="71" t="s">
        <v>508</v>
      </c>
      <c r="G1821" s="71" t="s">
        <v>2179</v>
      </c>
      <c r="H1821" s="71" t="s">
        <v>2123</v>
      </c>
      <c r="I1821" s="71" t="s">
        <v>4179</v>
      </c>
    </row>
    <row r="1822" spans="1:9" ht="29" x14ac:dyDescent="0.35">
      <c r="A1822" s="195">
        <v>12</v>
      </c>
      <c r="B1822" s="195">
        <v>187</v>
      </c>
      <c r="C1822" s="195" t="s">
        <v>2301</v>
      </c>
      <c r="D1822" s="195">
        <v>0</v>
      </c>
      <c r="E1822" s="195" t="s">
        <v>373</v>
      </c>
      <c r="F1822" s="71" t="s">
        <v>508</v>
      </c>
      <c r="G1822" s="71" t="s">
        <v>2179</v>
      </c>
      <c r="H1822" s="71" t="s">
        <v>2123</v>
      </c>
      <c r="I1822" s="71" t="s">
        <v>1671</v>
      </c>
    </row>
    <row r="1823" spans="1:9" ht="29" x14ac:dyDescent="0.35">
      <c r="A1823" s="195">
        <v>12</v>
      </c>
      <c r="B1823" s="195">
        <v>188</v>
      </c>
      <c r="C1823" s="195" t="s">
        <v>2302</v>
      </c>
      <c r="D1823" s="64">
        <v>14900</v>
      </c>
      <c r="E1823" s="195" t="s">
        <v>366</v>
      </c>
      <c r="F1823" s="71" t="s">
        <v>508</v>
      </c>
      <c r="G1823" s="71" t="s">
        <v>2179</v>
      </c>
      <c r="H1823" s="71" t="s">
        <v>2129</v>
      </c>
      <c r="I1823" s="71" t="s">
        <v>1374</v>
      </c>
    </row>
    <row r="1824" spans="1:9" ht="29" x14ac:dyDescent="0.35">
      <c r="A1824" s="195">
        <v>12</v>
      </c>
      <c r="B1824" s="195">
        <v>189</v>
      </c>
      <c r="C1824" s="195" t="s">
        <v>2303</v>
      </c>
      <c r="D1824" s="64">
        <v>14645</v>
      </c>
      <c r="E1824" s="195" t="s">
        <v>373</v>
      </c>
      <c r="F1824" s="71" t="s">
        <v>508</v>
      </c>
      <c r="G1824" s="71" t="s">
        <v>2179</v>
      </c>
      <c r="H1824" s="71" t="s">
        <v>2129</v>
      </c>
      <c r="I1824" s="71" t="s">
        <v>4177</v>
      </c>
    </row>
    <row r="1825" spans="1:9" ht="29" x14ac:dyDescent="0.35">
      <c r="A1825" s="195">
        <v>12</v>
      </c>
      <c r="B1825" s="195">
        <v>190</v>
      </c>
      <c r="C1825" s="195" t="s">
        <v>2304</v>
      </c>
      <c r="D1825" s="195">
        <v>255</v>
      </c>
      <c r="E1825" s="195" t="s">
        <v>373</v>
      </c>
      <c r="F1825" s="71" t="s">
        <v>508</v>
      </c>
      <c r="G1825" s="71" t="s">
        <v>2179</v>
      </c>
      <c r="H1825" s="71" t="s">
        <v>2129</v>
      </c>
      <c r="I1825" s="71" t="s">
        <v>4178</v>
      </c>
    </row>
    <row r="1826" spans="1:9" ht="29" x14ac:dyDescent="0.35">
      <c r="A1826" s="195">
        <v>12</v>
      </c>
      <c r="B1826" s="195">
        <v>191</v>
      </c>
      <c r="C1826" s="195" t="s">
        <v>2305</v>
      </c>
      <c r="D1826" s="195">
        <v>0</v>
      </c>
      <c r="E1826" s="195" t="s">
        <v>373</v>
      </c>
      <c r="F1826" s="71" t="s">
        <v>508</v>
      </c>
      <c r="G1826" s="71" t="s">
        <v>2179</v>
      </c>
      <c r="H1826" s="71" t="s">
        <v>2129</v>
      </c>
      <c r="I1826" s="71" t="s">
        <v>4179</v>
      </c>
    </row>
    <row r="1827" spans="1:9" ht="29" x14ac:dyDescent="0.35">
      <c r="A1827" s="195">
        <v>12</v>
      </c>
      <c r="B1827" s="195">
        <v>192</v>
      </c>
      <c r="C1827" s="195" t="s">
        <v>2306</v>
      </c>
      <c r="D1827" s="195">
        <v>0</v>
      </c>
      <c r="E1827" s="195" t="s">
        <v>373</v>
      </c>
      <c r="F1827" s="71" t="s">
        <v>508</v>
      </c>
      <c r="G1827" s="71" t="s">
        <v>2179</v>
      </c>
      <c r="H1827" s="71" t="s">
        <v>2129</v>
      </c>
      <c r="I1827" s="71" t="s">
        <v>1671</v>
      </c>
    </row>
    <row r="1828" spans="1:9" ht="29" x14ac:dyDescent="0.35">
      <c r="A1828" s="195">
        <v>12</v>
      </c>
      <c r="B1828" s="195">
        <v>193</v>
      </c>
      <c r="C1828" s="195" t="s">
        <v>2307</v>
      </c>
      <c r="D1828" s="64">
        <v>255140</v>
      </c>
      <c r="E1828" s="195" t="s">
        <v>366</v>
      </c>
      <c r="F1828" s="71" t="s">
        <v>508</v>
      </c>
      <c r="G1828" s="71" t="s">
        <v>2201</v>
      </c>
      <c r="H1828" s="71" t="s">
        <v>363</v>
      </c>
      <c r="I1828" s="71" t="s">
        <v>1374</v>
      </c>
    </row>
    <row r="1829" spans="1:9" ht="29" x14ac:dyDescent="0.35">
      <c r="A1829" s="195">
        <v>12</v>
      </c>
      <c r="B1829" s="195">
        <v>194</v>
      </c>
      <c r="C1829" s="195" t="s">
        <v>2308</v>
      </c>
      <c r="D1829" s="64">
        <v>130340</v>
      </c>
      <c r="E1829" s="195" t="s">
        <v>366</v>
      </c>
      <c r="F1829" s="71" t="s">
        <v>508</v>
      </c>
      <c r="G1829" s="71" t="s">
        <v>2201</v>
      </c>
      <c r="H1829" s="71" t="s">
        <v>2111</v>
      </c>
      <c r="I1829" s="71" t="s">
        <v>1374</v>
      </c>
    </row>
    <row r="1830" spans="1:9" ht="29" x14ac:dyDescent="0.35">
      <c r="A1830" s="195">
        <v>12</v>
      </c>
      <c r="B1830" s="195">
        <v>195</v>
      </c>
      <c r="C1830" s="195" t="s">
        <v>2309</v>
      </c>
      <c r="D1830" s="64">
        <v>20025</v>
      </c>
      <c r="E1830" s="195" t="s">
        <v>373</v>
      </c>
      <c r="F1830" s="71" t="s">
        <v>508</v>
      </c>
      <c r="G1830" s="71" t="s">
        <v>2201</v>
      </c>
      <c r="H1830" s="71" t="s">
        <v>2111</v>
      </c>
      <c r="I1830" s="71" t="s">
        <v>4177</v>
      </c>
    </row>
    <row r="1831" spans="1:9" ht="29" x14ac:dyDescent="0.35">
      <c r="A1831" s="195">
        <v>12</v>
      </c>
      <c r="B1831" s="195">
        <v>196</v>
      </c>
      <c r="C1831" s="195" t="s">
        <v>2310</v>
      </c>
      <c r="D1831" s="64">
        <v>36595</v>
      </c>
      <c r="E1831" s="195" t="s">
        <v>373</v>
      </c>
      <c r="F1831" s="71" t="s">
        <v>508</v>
      </c>
      <c r="G1831" s="71" t="s">
        <v>2201</v>
      </c>
      <c r="H1831" s="71" t="s">
        <v>2111</v>
      </c>
      <c r="I1831" s="71" t="s">
        <v>4178</v>
      </c>
    </row>
    <row r="1832" spans="1:9" ht="29" x14ac:dyDescent="0.35">
      <c r="A1832" s="195">
        <v>12</v>
      </c>
      <c r="B1832" s="195">
        <v>197</v>
      </c>
      <c r="C1832" s="195" t="s">
        <v>2311</v>
      </c>
      <c r="D1832" s="64">
        <v>63940</v>
      </c>
      <c r="E1832" s="195" t="s">
        <v>373</v>
      </c>
      <c r="F1832" s="71" t="s">
        <v>508</v>
      </c>
      <c r="G1832" s="71" t="s">
        <v>2201</v>
      </c>
      <c r="H1832" s="71" t="s">
        <v>2111</v>
      </c>
      <c r="I1832" s="71" t="s">
        <v>4179</v>
      </c>
    </row>
    <row r="1833" spans="1:9" ht="29" x14ac:dyDescent="0.35">
      <c r="A1833" s="195">
        <v>12</v>
      </c>
      <c r="B1833" s="195">
        <v>198</v>
      </c>
      <c r="C1833" s="195" t="s">
        <v>2312</v>
      </c>
      <c r="D1833" s="64">
        <v>9785</v>
      </c>
      <c r="E1833" s="195" t="s">
        <v>373</v>
      </c>
      <c r="F1833" s="71" t="s">
        <v>508</v>
      </c>
      <c r="G1833" s="71" t="s">
        <v>2201</v>
      </c>
      <c r="H1833" s="71" t="s">
        <v>2111</v>
      </c>
      <c r="I1833" s="71" t="s">
        <v>1671</v>
      </c>
    </row>
    <row r="1834" spans="1:9" ht="29" x14ac:dyDescent="0.35">
      <c r="A1834" s="195">
        <v>12</v>
      </c>
      <c r="B1834" s="195">
        <v>199</v>
      </c>
      <c r="C1834" s="195" t="s">
        <v>2313</v>
      </c>
      <c r="D1834" s="64">
        <v>47260</v>
      </c>
      <c r="E1834" s="195" t="s">
        <v>366</v>
      </c>
      <c r="F1834" s="71" t="s">
        <v>508</v>
      </c>
      <c r="G1834" s="71" t="s">
        <v>2201</v>
      </c>
      <c r="H1834" s="71" t="s">
        <v>2117</v>
      </c>
      <c r="I1834" s="71" t="s">
        <v>1374</v>
      </c>
    </row>
    <row r="1835" spans="1:9" ht="29" x14ac:dyDescent="0.35">
      <c r="A1835" s="195">
        <v>12</v>
      </c>
      <c r="B1835" s="195">
        <v>200</v>
      </c>
      <c r="C1835" s="195" t="s">
        <v>2314</v>
      </c>
      <c r="D1835" s="64">
        <v>32450</v>
      </c>
      <c r="E1835" s="195" t="s">
        <v>373</v>
      </c>
      <c r="F1835" s="71" t="s">
        <v>508</v>
      </c>
      <c r="G1835" s="71" t="s">
        <v>2201</v>
      </c>
      <c r="H1835" s="71" t="s">
        <v>2117</v>
      </c>
      <c r="I1835" s="71" t="s">
        <v>4177</v>
      </c>
    </row>
    <row r="1836" spans="1:9" ht="29" x14ac:dyDescent="0.35">
      <c r="A1836" s="195">
        <v>12</v>
      </c>
      <c r="B1836" s="195">
        <v>201</v>
      </c>
      <c r="C1836" s="195" t="s">
        <v>2315</v>
      </c>
      <c r="D1836" s="64">
        <v>13165</v>
      </c>
      <c r="E1836" s="195" t="s">
        <v>373</v>
      </c>
      <c r="F1836" s="71" t="s">
        <v>508</v>
      </c>
      <c r="G1836" s="71" t="s">
        <v>2201</v>
      </c>
      <c r="H1836" s="71" t="s">
        <v>2117</v>
      </c>
      <c r="I1836" s="71" t="s">
        <v>4178</v>
      </c>
    </row>
    <row r="1837" spans="1:9" ht="29" x14ac:dyDescent="0.35">
      <c r="A1837" s="195">
        <v>12</v>
      </c>
      <c r="B1837" s="195">
        <v>202</v>
      </c>
      <c r="C1837" s="195" t="s">
        <v>2316</v>
      </c>
      <c r="D1837" s="64">
        <v>1645</v>
      </c>
      <c r="E1837" s="195" t="s">
        <v>373</v>
      </c>
      <c r="F1837" s="71" t="s">
        <v>508</v>
      </c>
      <c r="G1837" s="71" t="s">
        <v>2201</v>
      </c>
      <c r="H1837" s="71" t="s">
        <v>2117</v>
      </c>
      <c r="I1837" s="71" t="s">
        <v>4179</v>
      </c>
    </row>
    <row r="1838" spans="1:9" ht="29" x14ac:dyDescent="0.35">
      <c r="A1838" s="195">
        <v>12</v>
      </c>
      <c r="B1838" s="195">
        <v>203</v>
      </c>
      <c r="C1838" s="195" t="s">
        <v>2317</v>
      </c>
      <c r="D1838" s="195">
        <v>0</v>
      </c>
      <c r="E1838" s="195" t="s">
        <v>373</v>
      </c>
      <c r="F1838" s="71" t="s">
        <v>508</v>
      </c>
      <c r="G1838" s="71" t="s">
        <v>2201</v>
      </c>
      <c r="H1838" s="71" t="s">
        <v>2117</v>
      </c>
      <c r="I1838" s="71" t="s">
        <v>1671</v>
      </c>
    </row>
    <row r="1839" spans="1:9" ht="29" x14ac:dyDescent="0.35">
      <c r="A1839" s="195">
        <v>12</v>
      </c>
      <c r="B1839" s="195">
        <v>204</v>
      </c>
      <c r="C1839" s="195" t="s">
        <v>2318</v>
      </c>
      <c r="D1839" s="64">
        <v>35500</v>
      </c>
      <c r="E1839" s="195" t="s">
        <v>366</v>
      </c>
      <c r="F1839" s="71" t="s">
        <v>508</v>
      </c>
      <c r="G1839" s="71" t="s">
        <v>2201</v>
      </c>
      <c r="H1839" s="71" t="s">
        <v>2123</v>
      </c>
      <c r="I1839" s="71" t="s">
        <v>1374</v>
      </c>
    </row>
    <row r="1840" spans="1:9" ht="29" x14ac:dyDescent="0.35">
      <c r="A1840" s="195">
        <v>12</v>
      </c>
      <c r="B1840" s="195">
        <v>205</v>
      </c>
      <c r="C1840" s="195" t="s">
        <v>2319</v>
      </c>
      <c r="D1840" s="64">
        <v>31775</v>
      </c>
      <c r="E1840" s="195" t="s">
        <v>373</v>
      </c>
      <c r="F1840" s="71" t="s">
        <v>508</v>
      </c>
      <c r="G1840" s="71" t="s">
        <v>2201</v>
      </c>
      <c r="H1840" s="71" t="s">
        <v>2123</v>
      </c>
      <c r="I1840" s="71" t="s">
        <v>4177</v>
      </c>
    </row>
    <row r="1841" spans="1:9" ht="29" x14ac:dyDescent="0.35">
      <c r="A1841" s="195">
        <v>12</v>
      </c>
      <c r="B1841" s="195">
        <v>206</v>
      </c>
      <c r="C1841" s="195" t="s">
        <v>2320</v>
      </c>
      <c r="D1841" s="64">
        <v>3540</v>
      </c>
      <c r="E1841" s="195" t="s">
        <v>373</v>
      </c>
      <c r="F1841" s="71" t="s">
        <v>508</v>
      </c>
      <c r="G1841" s="71" t="s">
        <v>2201</v>
      </c>
      <c r="H1841" s="71" t="s">
        <v>2123</v>
      </c>
      <c r="I1841" s="71" t="s">
        <v>4178</v>
      </c>
    </row>
    <row r="1842" spans="1:9" ht="29" x14ac:dyDescent="0.35">
      <c r="A1842" s="195">
        <v>12</v>
      </c>
      <c r="B1842" s="195">
        <v>207</v>
      </c>
      <c r="C1842" s="195" t="s">
        <v>2321</v>
      </c>
      <c r="D1842" s="195">
        <v>185</v>
      </c>
      <c r="E1842" s="195" t="s">
        <v>373</v>
      </c>
      <c r="F1842" s="71" t="s">
        <v>508</v>
      </c>
      <c r="G1842" s="71" t="s">
        <v>2201</v>
      </c>
      <c r="H1842" s="71" t="s">
        <v>2123</v>
      </c>
      <c r="I1842" s="71" t="s">
        <v>4179</v>
      </c>
    </row>
    <row r="1843" spans="1:9" ht="29" x14ac:dyDescent="0.35">
      <c r="A1843" s="195">
        <v>12</v>
      </c>
      <c r="B1843" s="195">
        <v>208</v>
      </c>
      <c r="C1843" s="195" t="s">
        <v>2322</v>
      </c>
      <c r="D1843" s="195">
        <v>0</v>
      </c>
      <c r="E1843" s="195" t="s">
        <v>373</v>
      </c>
      <c r="F1843" s="71" t="s">
        <v>508</v>
      </c>
      <c r="G1843" s="71" t="s">
        <v>2201</v>
      </c>
      <c r="H1843" s="71" t="s">
        <v>2123</v>
      </c>
      <c r="I1843" s="71" t="s">
        <v>1671</v>
      </c>
    </row>
    <row r="1844" spans="1:9" ht="29" x14ac:dyDescent="0.35">
      <c r="A1844" s="195">
        <v>12</v>
      </c>
      <c r="B1844" s="195">
        <v>209</v>
      </c>
      <c r="C1844" s="195" t="s">
        <v>2323</v>
      </c>
      <c r="D1844" s="64">
        <v>42040</v>
      </c>
      <c r="E1844" s="195" t="s">
        <v>366</v>
      </c>
      <c r="F1844" s="71" t="s">
        <v>508</v>
      </c>
      <c r="G1844" s="71" t="s">
        <v>2201</v>
      </c>
      <c r="H1844" s="71" t="s">
        <v>2129</v>
      </c>
      <c r="I1844" s="71" t="s">
        <v>1374</v>
      </c>
    </row>
    <row r="1845" spans="1:9" ht="29" x14ac:dyDescent="0.35">
      <c r="A1845" s="195">
        <v>12</v>
      </c>
      <c r="B1845" s="195">
        <v>210</v>
      </c>
      <c r="C1845" s="195" t="s">
        <v>2324</v>
      </c>
      <c r="D1845" s="64">
        <v>41410</v>
      </c>
      <c r="E1845" s="195" t="s">
        <v>373</v>
      </c>
      <c r="F1845" s="71" t="s">
        <v>508</v>
      </c>
      <c r="G1845" s="71" t="s">
        <v>2201</v>
      </c>
      <c r="H1845" s="71" t="s">
        <v>2129</v>
      </c>
      <c r="I1845" s="71" t="s">
        <v>4177</v>
      </c>
    </row>
    <row r="1846" spans="1:9" ht="29" x14ac:dyDescent="0.35">
      <c r="A1846" s="195">
        <v>12</v>
      </c>
      <c r="B1846" s="195">
        <v>211</v>
      </c>
      <c r="C1846" s="195" t="s">
        <v>2325</v>
      </c>
      <c r="D1846" s="195">
        <v>630</v>
      </c>
      <c r="E1846" s="195" t="s">
        <v>373</v>
      </c>
      <c r="F1846" s="71" t="s">
        <v>508</v>
      </c>
      <c r="G1846" s="71" t="s">
        <v>2201</v>
      </c>
      <c r="H1846" s="71" t="s">
        <v>2129</v>
      </c>
      <c r="I1846" s="71" t="s">
        <v>4178</v>
      </c>
    </row>
    <row r="1847" spans="1:9" ht="29" x14ac:dyDescent="0.35">
      <c r="A1847" s="195">
        <v>12</v>
      </c>
      <c r="B1847" s="195">
        <v>212</v>
      </c>
      <c r="C1847" s="195" t="s">
        <v>2326</v>
      </c>
      <c r="D1847" s="195">
        <v>0</v>
      </c>
      <c r="E1847" s="195" t="s">
        <v>373</v>
      </c>
      <c r="F1847" s="71" t="s">
        <v>508</v>
      </c>
      <c r="G1847" s="71" t="s">
        <v>2201</v>
      </c>
      <c r="H1847" s="71" t="s">
        <v>2129</v>
      </c>
      <c r="I1847" s="71" t="s">
        <v>4179</v>
      </c>
    </row>
    <row r="1848" spans="1:9" ht="29" x14ac:dyDescent="0.35">
      <c r="A1848" s="195">
        <v>12</v>
      </c>
      <c r="B1848" s="195">
        <v>213</v>
      </c>
      <c r="C1848" s="195" t="s">
        <v>2327</v>
      </c>
      <c r="D1848" s="195">
        <v>0</v>
      </c>
      <c r="E1848" s="195" t="s">
        <v>373</v>
      </c>
      <c r="F1848" s="71" t="s">
        <v>508</v>
      </c>
      <c r="G1848" s="71" t="s">
        <v>2201</v>
      </c>
      <c r="H1848" s="71" t="s">
        <v>2129</v>
      </c>
      <c r="I1848" s="71" t="s">
        <v>1671</v>
      </c>
    </row>
    <row r="1849" spans="1:9" ht="29" x14ac:dyDescent="0.35">
      <c r="A1849" s="195">
        <v>13</v>
      </c>
      <c r="B1849" s="195">
        <v>1</v>
      </c>
      <c r="C1849" s="195" t="s">
        <v>2328</v>
      </c>
      <c r="D1849" s="64">
        <v>1042580</v>
      </c>
      <c r="E1849" s="195" t="s">
        <v>26</v>
      </c>
      <c r="F1849" s="71" t="s">
        <v>361</v>
      </c>
      <c r="G1849" s="71" t="s">
        <v>4180</v>
      </c>
      <c r="H1849" s="71" t="s">
        <v>4181</v>
      </c>
      <c r="I1849" s="71" t="s">
        <v>4182</v>
      </c>
    </row>
    <row r="1850" spans="1:9" x14ac:dyDescent="0.35">
      <c r="A1850" s="195">
        <v>13</v>
      </c>
      <c r="B1850" s="195">
        <v>2</v>
      </c>
      <c r="C1850" s="195" t="s">
        <v>2332</v>
      </c>
      <c r="D1850" s="64">
        <v>459890</v>
      </c>
      <c r="E1850" s="195" t="s">
        <v>366</v>
      </c>
      <c r="F1850" s="71" t="s">
        <v>367</v>
      </c>
      <c r="G1850" s="71" t="s">
        <v>4180</v>
      </c>
      <c r="H1850" s="71" t="s">
        <v>4181</v>
      </c>
      <c r="I1850" s="71" t="s">
        <v>4182</v>
      </c>
    </row>
    <row r="1851" spans="1:9" ht="29" x14ac:dyDescent="0.35">
      <c r="A1851" s="195">
        <v>13</v>
      </c>
      <c r="B1851" s="195">
        <v>3</v>
      </c>
      <c r="C1851" s="195" t="s">
        <v>2333</v>
      </c>
      <c r="D1851" s="64">
        <v>82020</v>
      </c>
      <c r="E1851" s="195" t="s">
        <v>366</v>
      </c>
      <c r="F1851" s="71" t="s">
        <v>367</v>
      </c>
      <c r="G1851" s="71" t="s">
        <v>4183</v>
      </c>
      <c r="H1851" s="71" t="s">
        <v>4181</v>
      </c>
      <c r="I1851" s="71" t="s">
        <v>4182</v>
      </c>
    </row>
    <row r="1852" spans="1:9" ht="43.5" x14ac:dyDescent="0.35">
      <c r="A1852" s="195">
        <v>13</v>
      </c>
      <c r="B1852" s="195">
        <v>4</v>
      </c>
      <c r="C1852" s="195" t="s">
        <v>2335</v>
      </c>
      <c r="D1852" s="64">
        <v>4690</v>
      </c>
      <c r="E1852" s="195" t="s">
        <v>366</v>
      </c>
      <c r="F1852" s="71" t="s">
        <v>367</v>
      </c>
      <c r="G1852" s="71" t="s">
        <v>4183</v>
      </c>
      <c r="H1852" s="71" t="s">
        <v>4184</v>
      </c>
      <c r="I1852" s="71" t="s">
        <v>4182</v>
      </c>
    </row>
    <row r="1853" spans="1:9" ht="43.5" x14ac:dyDescent="0.35">
      <c r="A1853" s="195">
        <v>13</v>
      </c>
      <c r="B1853" s="195">
        <v>5</v>
      </c>
      <c r="C1853" s="195" t="s">
        <v>2337</v>
      </c>
      <c r="D1853" s="64">
        <v>500</v>
      </c>
      <c r="E1853" s="195" t="s">
        <v>373</v>
      </c>
      <c r="F1853" s="71" t="s">
        <v>367</v>
      </c>
      <c r="G1853" s="71" t="s">
        <v>4183</v>
      </c>
      <c r="H1853" s="71" t="s">
        <v>4184</v>
      </c>
      <c r="I1853" s="71" t="s">
        <v>4185</v>
      </c>
    </row>
    <row r="1854" spans="1:9" ht="43.5" x14ac:dyDescent="0.35">
      <c r="A1854" s="195">
        <v>13</v>
      </c>
      <c r="B1854" s="195">
        <v>6</v>
      </c>
      <c r="C1854" s="195" t="s">
        <v>2339</v>
      </c>
      <c r="D1854" s="64">
        <v>4185</v>
      </c>
      <c r="E1854" s="195" t="s">
        <v>373</v>
      </c>
      <c r="F1854" s="71" t="s">
        <v>367</v>
      </c>
      <c r="G1854" s="71" t="s">
        <v>4183</v>
      </c>
      <c r="H1854" s="71" t="s">
        <v>4184</v>
      </c>
      <c r="I1854" s="71" t="s">
        <v>4186</v>
      </c>
    </row>
    <row r="1855" spans="1:9" ht="58" x14ac:dyDescent="0.35">
      <c r="A1855" s="195">
        <v>13</v>
      </c>
      <c r="B1855" s="195">
        <v>7</v>
      </c>
      <c r="C1855" s="195" t="s">
        <v>2341</v>
      </c>
      <c r="D1855" s="64">
        <v>4010</v>
      </c>
      <c r="E1855" s="195" t="s">
        <v>366</v>
      </c>
      <c r="F1855" s="71" t="s">
        <v>367</v>
      </c>
      <c r="G1855" s="71" t="s">
        <v>4183</v>
      </c>
      <c r="H1855" s="71" t="s">
        <v>4187</v>
      </c>
      <c r="I1855" s="71" t="s">
        <v>4182</v>
      </c>
    </row>
    <row r="1856" spans="1:9" ht="58" x14ac:dyDescent="0.35">
      <c r="A1856" s="195">
        <v>13</v>
      </c>
      <c r="B1856" s="195">
        <v>8</v>
      </c>
      <c r="C1856" s="195" t="s">
        <v>2343</v>
      </c>
      <c r="D1856" s="64">
        <v>460</v>
      </c>
      <c r="E1856" s="195" t="s">
        <v>373</v>
      </c>
      <c r="F1856" s="71" t="s">
        <v>367</v>
      </c>
      <c r="G1856" s="71" t="s">
        <v>4183</v>
      </c>
      <c r="H1856" s="71" t="s">
        <v>4187</v>
      </c>
      <c r="I1856" s="71" t="s">
        <v>4185</v>
      </c>
    </row>
    <row r="1857" spans="1:9" ht="58" x14ac:dyDescent="0.35">
      <c r="A1857" s="195">
        <v>13</v>
      </c>
      <c r="B1857" s="195">
        <v>9</v>
      </c>
      <c r="C1857" s="195" t="s">
        <v>2344</v>
      </c>
      <c r="D1857" s="64">
        <v>3550</v>
      </c>
      <c r="E1857" s="195" t="s">
        <v>373</v>
      </c>
      <c r="F1857" s="71" t="s">
        <v>367</v>
      </c>
      <c r="G1857" s="71" t="s">
        <v>4183</v>
      </c>
      <c r="H1857" s="71" t="s">
        <v>4187</v>
      </c>
      <c r="I1857" s="71" t="s">
        <v>4186</v>
      </c>
    </row>
    <row r="1858" spans="1:9" ht="58" x14ac:dyDescent="0.35">
      <c r="A1858" s="195">
        <v>13</v>
      </c>
      <c r="B1858" s="195">
        <v>10</v>
      </c>
      <c r="C1858" s="195" t="s">
        <v>2345</v>
      </c>
      <c r="D1858" s="64">
        <v>6490</v>
      </c>
      <c r="E1858" s="195" t="s">
        <v>366</v>
      </c>
      <c r="F1858" s="71" t="s">
        <v>367</v>
      </c>
      <c r="G1858" s="71" t="s">
        <v>4183</v>
      </c>
      <c r="H1858" s="71" t="s">
        <v>4188</v>
      </c>
      <c r="I1858" s="71" t="s">
        <v>4182</v>
      </c>
    </row>
    <row r="1859" spans="1:9" ht="58" x14ac:dyDescent="0.35">
      <c r="A1859" s="195">
        <v>13</v>
      </c>
      <c r="B1859" s="195">
        <v>11</v>
      </c>
      <c r="C1859" s="195" t="s">
        <v>2347</v>
      </c>
      <c r="D1859" s="64">
        <v>875</v>
      </c>
      <c r="E1859" s="195" t="s">
        <v>373</v>
      </c>
      <c r="F1859" s="71" t="s">
        <v>367</v>
      </c>
      <c r="G1859" s="71" t="s">
        <v>4183</v>
      </c>
      <c r="H1859" s="71" t="s">
        <v>4188</v>
      </c>
      <c r="I1859" s="71" t="s">
        <v>4185</v>
      </c>
    </row>
    <row r="1860" spans="1:9" ht="58" x14ac:dyDescent="0.35">
      <c r="A1860" s="195">
        <v>13</v>
      </c>
      <c r="B1860" s="195">
        <v>12</v>
      </c>
      <c r="C1860" s="195" t="s">
        <v>2348</v>
      </c>
      <c r="D1860" s="64">
        <v>5615</v>
      </c>
      <c r="E1860" s="195" t="s">
        <v>373</v>
      </c>
      <c r="F1860" s="71" t="s">
        <v>367</v>
      </c>
      <c r="G1860" s="71" t="s">
        <v>4183</v>
      </c>
      <c r="H1860" s="71" t="s">
        <v>4188</v>
      </c>
      <c r="I1860" s="71" t="s">
        <v>4186</v>
      </c>
    </row>
    <row r="1861" spans="1:9" ht="58" x14ac:dyDescent="0.35">
      <c r="A1861" s="195">
        <v>13</v>
      </c>
      <c r="B1861" s="195">
        <v>13</v>
      </c>
      <c r="C1861" s="195" t="s">
        <v>2349</v>
      </c>
      <c r="D1861" s="64">
        <v>5210</v>
      </c>
      <c r="E1861" s="195" t="s">
        <v>366</v>
      </c>
      <c r="F1861" s="71" t="s">
        <v>367</v>
      </c>
      <c r="G1861" s="71" t="s">
        <v>4183</v>
      </c>
      <c r="H1861" s="71" t="s">
        <v>4189</v>
      </c>
      <c r="I1861" s="71" t="s">
        <v>4182</v>
      </c>
    </row>
    <row r="1862" spans="1:9" ht="58" x14ac:dyDescent="0.35">
      <c r="A1862" s="195">
        <v>13</v>
      </c>
      <c r="B1862" s="195">
        <v>14</v>
      </c>
      <c r="C1862" s="195" t="s">
        <v>2351</v>
      </c>
      <c r="D1862" s="64">
        <v>805</v>
      </c>
      <c r="E1862" s="195" t="s">
        <v>373</v>
      </c>
      <c r="F1862" s="71" t="s">
        <v>367</v>
      </c>
      <c r="G1862" s="71" t="s">
        <v>4183</v>
      </c>
      <c r="H1862" s="71" t="s">
        <v>4189</v>
      </c>
      <c r="I1862" s="71" t="s">
        <v>4185</v>
      </c>
    </row>
    <row r="1863" spans="1:9" ht="58" x14ac:dyDescent="0.35">
      <c r="A1863" s="195">
        <v>13</v>
      </c>
      <c r="B1863" s="195">
        <v>15</v>
      </c>
      <c r="C1863" s="195" t="s">
        <v>2352</v>
      </c>
      <c r="D1863" s="64">
        <v>4405</v>
      </c>
      <c r="E1863" s="195" t="s">
        <v>373</v>
      </c>
      <c r="F1863" s="71" t="s">
        <v>367</v>
      </c>
      <c r="G1863" s="71" t="s">
        <v>4183</v>
      </c>
      <c r="H1863" s="71" t="s">
        <v>4189</v>
      </c>
      <c r="I1863" s="71" t="s">
        <v>4186</v>
      </c>
    </row>
    <row r="1864" spans="1:9" ht="43.5" x14ac:dyDescent="0.35">
      <c r="A1864" s="195">
        <v>13</v>
      </c>
      <c r="B1864" s="195">
        <v>16</v>
      </c>
      <c r="C1864" s="195" t="s">
        <v>2353</v>
      </c>
      <c r="D1864" s="64">
        <v>61620</v>
      </c>
      <c r="E1864" s="195" t="s">
        <v>366</v>
      </c>
      <c r="F1864" s="71" t="s">
        <v>367</v>
      </c>
      <c r="G1864" s="71" t="s">
        <v>4183</v>
      </c>
      <c r="H1864" s="71" t="s">
        <v>4190</v>
      </c>
      <c r="I1864" s="71" t="s">
        <v>4182</v>
      </c>
    </row>
    <row r="1865" spans="1:9" ht="43.5" x14ac:dyDescent="0.35">
      <c r="A1865" s="195">
        <v>13</v>
      </c>
      <c r="B1865" s="195">
        <v>17</v>
      </c>
      <c r="C1865" s="195" t="s">
        <v>2355</v>
      </c>
      <c r="D1865" s="64">
        <v>12375</v>
      </c>
      <c r="E1865" s="195" t="s">
        <v>373</v>
      </c>
      <c r="F1865" s="71" t="s">
        <v>367</v>
      </c>
      <c r="G1865" s="71" t="s">
        <v>4183</v>
      </c>
      <c r="H1865" s="71" t="s">
        <v>4190</v>
      </c>
      <c r="I1865" s="71" t="s">
        <v>4185</v>
      </c>
    </row>
    <row r="1866" spans="1:9" ht="43.5" x14ac:dyDescent="0.35">
      <c r="A1866" s="195">
        <v>13</v>
      </c>
      <c r="B1866" s="195">
        <v>18</v>
      </c>
      <c r="C1866" s="195" t="s">
        <v>2356</v>
      </c>
      <c r="D1866" s="64">
        <v>49245</v>
      </c>
      <c r="E1866" s="195" t="s">
        <v>373</v>
      </c>
      <c r="F1866" s="71" t="s">
        <v>367</v>
      </c>
      <c r="G1866" s="71" t="s">
        <v>4183</v>
      </c>
      <c r="H1866" s="71" t="s">
        <v>4190</v>
      </c>
      <c r="I1866" s="71" t="s">
        <v>4186</v>
      </c>
    </row>
    <row r="1867" spans="1:9" ht="43.5" x14ac:dyDescent="0.35">
      <c r="A1867" s="195">
        <v>13</v>
      </c>
      <c r="B1867" s="195">
        <v>19</v>
      </c>
      <c r="C1867" s="195" t="s">
        <v>2357</v>
      </c>
      <c r="D1867" s="64">
        <v>188370</v>
      </c>
      <c r="E1867" s="195" t="s">
        <v>366</v>
      </c>
      <c r="F1867" s="71" t="s">
        <v>367</v>
      </c>
      <c r="G1867" s="71" t="s">
        <v>4191</v>
      </c>
      <c r="H1867" s="71" t="s">
        <v>4181</v>
      </c>
      <c r="I1867" s="71" t="s">
        <v>4182</v>
      </c>
    </row>
    <row r="1868" spans="1:9" ht="43.5" x14ac:dyDescent="0.35">
      <c r="A1868" s="195">
        <v>13</v>
      </c>
      <c r="B1868" s="195">
        <v>20</v>
      </c>
      <c r="C1868" s="195" t="s">
        <v>2359</v>
      </c>
      <c r="D1868" s="64">
        <v>21945</v>
      </c>
      <c r="E1868" s="195" t="s">
        <v>366</v>
      </c>
      <c r="F1868" s="71" t="s">
        <v>367</v>
      </c>
      <c r="G1868" s="71" t="s">
        <v>4191</v>
      </c>
      <c r="H1868" s="71" t="s">
        <v>4184</v>
      </c>
      <c r="I1868" s="71" t="s">
        <v>4182</v>
      </c>
    </row>
    <row r="1869" spans="1:9" ht="43.5" x14ac:dyDescent="0.35">
      <c r="A1869" s="195">
        <v>13</v>
      </c>
      <c r="B1869" s="195">
        <v>21</v>
      </c>
      <c r="C1869" s="195" t="s">
        <v>2360</v>
      </c>
      <c r="D1869" s="64">
        <v>2110</v>
      </c>
      <c r="E1869" s="195" t="s">
        <v>373</v>
      </c>
      <c r="F1869" s="71" t="s">
        <v>367</v>
      </c>
      <c r="G1869" s="71" t="s">
        <v>4191</v>
      </c>
      <c r="H1869" s="71" t="s">
        <v>4184</v>
      </c>
      <c r="I1869" s="71" t="s">
        <v>4185</v>
      </c>
    </row>
    <row r="1870" spans="1:9" ht="43.5" x14ac:dyDescent="0.35">
      <c r="A1870" s="195">
        <v>13</v>
      </c>
      <c r="B1870" s="195">
        <v>22</v>
      </c>
      <c r="C1870" s="195" t="s">
        <v>2361</v>
      </c>
      <c r="D1870" s="64">
        <v>19835</v>
      </c>
      <c r="E1870" s="195" t="s">
        <v>373</v>
      </c>
      <c r="F1870" s="71" t="s">
        <v>367</v>
      </c>
      <c r="G1870" s="71" t="s">
        <v>4191</v>
      </c>
      <c r="H1870" s="71" t="s">
        <v>4184</v>
      </c>
      <c r="I1870" s="71" t="s">
        <v>4186</v>
      </c>
    </row>
    <row r="1871" spans="1:9" ht="58" x14ac:dyDescent="0.35">
      <c r="A1871" s="195">
        <v>13</v>
      </c>
      <c r="B1871" s="195">
        <v>23</v>
      </c>
      <c r="C1871" s="195" t="s">
        <v>2362</v>
      </c>
      <c r="D1871" s="64">
        <v>23900</v>
      </c>
      <c r="E1871" s="195" t="s">
        <v>366</v>
      </c>
      <c r="F1871" s="71" t="s">
        <v>367</v>
      </c>
      <c r="G1871" s="71" t="s">
        <v>4191</v>
      </c>
      <c r="H1871" s="71" t="s">
        <v>4187</v>
      </c>
      <c r="I1871" s="71" t="s">
        <v>4182</v>
      </c>
    </row>
    <row r="1872" spans="1:9" ht="58" x14ac:dyDescent="0.35">
      <c r="A1872" s="195">
        <v>13</v>
      </c>
      <c r="B1872" s="195">
        <v>24</v>
      </c>
      <c r="C1872" s="195" t="s">
        <v>2363</v>
      </c>
      <c r="D1872" s="64">
        <v>3370</v>
      </c>
      <c r="E1872" s="195" t="s">
        <v>373</v>
      </c>
      <c r="F1872" s="71" t="s">
        <v>367</v>
      </c>
      <c r="G1872" s="71" t="s">
        <v>4191</v>
      </c>
      <c r="H1872" s="71" t="s">
        <v>4187</v>
      </c>
      <c r="I1872" s="71" t="s">
        <v>4185</v>
      </c>
    </row>
    <row r="1873" spans="1:9" ht="58" x14ac:dyDescent="0.35">
      <c r="A1873" s="195">
        <v>13</v>
      </c>
      <c r="B1873" s="195">
        <v>25</v>
      </c>
      <c r="C1873" s="195" t="s">
        <v>2364</v>
      </c>
      <c r="D1873" s="64">
        <v>20530</v>
      </c>
      <c r="E1873" s="195" t="s">
        <v>373</v>
      </c>
      <c r="F1873" s="71" t="s">
        <v>367</v>
      </c>
      <c r="G1873" s="71" t="s">
        <v>4191</v>
      </c>
      <c r="H1873" s="71" t="s">
        <v>4187</v>
      </c>
      <c r="I1873" s="71" t="s">
        <v>4186</v>
      </c>
    </row>
    <row r="1874" spans="1:9" ht="58" x14ac:dyDescent="0.35">
      <c r="A1874" s="195">
        <v>13</v>
      </c>
      <c r="B1874" s="195">
        <v>26</v>
      </c>
      <c r="C1874" s="195" t="s">
        <v>2365</v>
      </c>
      <c r="D1874" s="64">
        <v>33775</v>
      </c>
      <c r="E1874" s="195" t="s">
        <v>366</v>
      </c>
      <c r="F1874" s="71" t="s">
        <v>367</v>
      </c>
      <c r="G1874" s="71" t="s">
        <v>4191</v>
      </c>
      <c r="H1874" s="71" t="s">
        <v>4188</v>
      </c>
      <c r="I1874" s="71" t="s">
        <v>4182</v>
      </c>
    </row>
    <row r="1875" spans="1:9" ht="58" x14ac:dyDescent="0.35">
      <c r="A1875" s="195">
        <v>13</v>
      </c>
      <c r="B1875" s="195">
        <v>27</v>
      </c>
      <c r="C1875" s="195" t="s">
        <v>2366</v>
      </c>
      <c r="D1875" s="64">
        <v>4525</v>
      </c>
      <c r="E1875" s="195" t="s">
        <v>373</v>
      </c>
      <c r="F1875" s="71" t="s">
        <v>367</v>
      </c>
      <c r="G1875" s="71" t="s">
        <v>4191</v>
      </c>
      <c r="H1875" s="71" t="s">
        <v>4188</v>
      </c>
      <c r="I1875" s="71" t="s">
        <v>4185</v>
      </c>
    </row>
    <row r="1876" spans="1:9" ht="58" x14ac:dyDescent="0.35">
      <c r="A1876" s="195">
        <v>13</v>
      </c>
      <c r="B1876" s="195">
        <v>28</v>
      </c>
      <c r="C1876" s="195" t="s">
        <v>2367</v>
      </c>
      <c r="D1876" s="64">
        <v>29250</v>
      </c>
      <c r="E1876" s="195" t="s">
        <v>373</v>
      </c>
      <c r="F1876" s="71" t="s">
        <v>367</v>
      </c>
      <c r="G1876" s="71" t="s">
        <v>4191</v>
      </c>
      <c r="H1876" s="71" t="s">
        <v>4188</v>
      </c>
      <c r="I1876" s="71" t="s">
        <v>4186</v>
      </c>
    </row>
    <row r="1877" spans="1:9" ht="58" x14ac:dyDescent="0.35">
      <c r="A1877" s="195">
        <v>13</v>
      </c>
      <c r="B1877" s="195">
        <v>29</v>
      </c>
      <c r="C1877" s="195" t="s">
        <v>2368</v>
      </c>
      <c r="D1877" s="64">
        <v>20850</v>
      </c>
      <c r="E1877" s="195" t="s">
        <v>366</v>
      </c>
      <c r="F1877" s="71" t="s">
        <v>367</v>
      </c>
      <c r="G1877" s="71" t="s">
        <v>4191</v>
      </c>
      <c r="H1877" s="71" t="s">
        <v>4189</v>
      </c>
      <c r="I1877" s="71" t="s">
        <v>4182</v>
      </c>
    </row>
    <row r="1878" spans="1:9" ht="58" x14ac:dyDescent="0.35">
      <c r="A1878" s="195">
        <v>13</v>
      </c>
      <c r="B1878" s="195">
        <v>30</v>
      </c>
      <c r="C1878" s="195" t="s">
        <v>2369</v>
      </c>
      <c r="D1878" s="64">
        <v>2995</v>
      </c>
      <c r="E1878" s="195" t="s">
        <v>373</v>
      </c>
      <c r="F1878" s="71" t="s">
        <v>367</v>
      </c>
      <c r="G1878" s="71" t="s">
        <v>4191</v>
      </c>
      <c r="H1878" s="71" t="s">
        <v>4189</v>
      </c>
      <c r="I1878" s="71" t="s">
        <v>4185</v>
      </c>
    </row>
    <row r="1879" spans="1:9" ht="58" x14ac:dyDescent="0.35">
      <c r="A1879" s="195">
        <v>13</v>
      </c>
      <c r="B1879" s="195">
        <v>31</v>
      </c>
      <c r="C1879" s="195" t="s">
        <v>2370</v>
      </c>
      <c r="D1879" s="64">
        <v>17855</v>
      </c>
      <c r="E1879" s="195" t="s">
        <v>373</v>
      </c>
      <c r="F1879" s="71" t="s">
        <v>367</v>
      </c>
      <c r="G1879" s="71" t="s">
        <v>4191</v>
      </c>
      <c r="H1879" s="71" t="s">
        <v>4189</v>
      </c>
      <c r="I1879" s="71" t="s">
        <v>4186</v>
      </c>
    </row>
    <row r="1880" spans="1:9" ht="43.5" x14ac:dyDescent="0.35">
      <c r="A1880" s="195">
        <v>13</v>
      </c>
      <c r="B1880" s="195">
        <v>32</v>
      </c>
      <c r="C1880" s="195" t="s">
        <v>2371</v>
      </c>
      <c r="D1880" s="64">
        <v>87895</v>
      </c>
      <c r="E1880" s="195" t="s">
        <v>366</v>
      </c>
      <c r="F1880" s="71" t="s">
        <v>367</v>
      </c>
      <c r="G1880" s="71" t="s">
        <v>4191</v>
      </c>
      <c r="H1880" s="71" t="s">
        <v>4190</v>
      </c>
      <c r="I1880" s="71" t="s">
        <v>4182</v>
      </c>
    </row>
    <row r="1881" spans="1:9" ht="43.5" x14ac:dyDescent="0.35">
      <c r="A1881" s="195">
        <v>13</v>
      </c>
      <c r="B1881" s="195">
        <v>33</v>
      </c>
      <c r="C1881" s="195" t="s">
        <v>2372</v>
      </c>
      <c r="D1881" s="64">
        <v>12235</v>
      </c>
      <c r="E1881" s="195" t="s">
        <v>373</v>
      </c>
      <c r="F1881" s="71" t="s">
        <v>367</v>
      </c>
      <c r="G1881" s="71" t="s">
        <v>4191</v>
      </c>
      <c r="H1881" s="71" t="s">
        <v>4190</v>
      </c>
      <c r="I1881" s="71" t="s">
        <v>4185</v>
      </c>
    </row>
    <row r="1882" spans="1:9" ht="43.5" x14ac:dyDescent="0.35">
      <c r="A1882" s="195">
        <v>13</v>
      </c>
      <c r="B1882" s="195">
        <v>34</v>
      </c>
      <c r="C1882" s="195" t="s">
        <v>2373</v>
      </c>
      <c r="D1882" s="64">
        <v>75660</v>
      </c>
      <c r="E1882" s="195" t="s">
        <v>373</v>
      </c>
      <c r="F1882" s="71" t="s">
        <v>367</v>
      </c>
      <c r="G1882" s="71" t="s">
        <v>4191</v>
      </c>
      <c r="H1882" s="71" t="s">
        <v>4190</v>
      </c>
      <c r="I1882" s="71" t="s">
        <v>4186</v>
      </c>
    </row>
    <row r="1883" spans="1:9" ht="29" x14ac:dyDescent="0.35">
      <c r="A1883" s="195">
        <v>13</v>
      </c>
      <c r="B1883" s="195">
        <v>35</v>
      </c>
      <c r="C1883" s="195" t="s">
        <v>2374</v>
      </c>
      <c r="D1883" s="64">
        <v>189500</v>
      </c>
      <c r="E1883" s="195" t="s">
        <v>366</v>
      </c>
      <c r="F1883" s="71" t="s">
        <v>367</v>
      </c>
      <c r="G1883" s="71" t="s">
        <v>4192</v>
      </c>
      <c r="H1883" s="71" t="s">
        <v>4181</v>
      </c>
      <c r="I1883" s="71" t="s">
        <v>4182</v>
      </c>
    </row>
    <row r="1884" spans="1:9" ht="43.5" x14ac:dyDescent="0.35">
      <c r="A1884" s="195">
        <v>13</v>
      </c>
      <c r="B1884" s="195">
        <v>36</v>
      </c>
      <c r="C1884" s="195" t="s">
        <v>2376</v>
      </c>
      <c r="D1884" s="64">
        <v>21810</v>
      </c>
      <c r="E1884" s="195" t="s">
        <v>366</v>
      </c>
      <c r="F1884" s="71" t="s">
        <v>367</v>
      </c>
      <c r="G1884" s="71" t="s">
        <v>4192</v>
      </c>
      <c r="H1884" s="71" t="s">
        <v>4184</v>
      </c>
      <c r="I1884" s="71" t="s">
        <v>4182</v>
      </c>
    </row>
    <row r="1885" spans="1:9" ht="43.5" x14ac:dyDescent="0.35">
      <c r="A1885" s="195">
        <v>13</v>
      </c>
      <c r="B1885" s="195">
        <v>37</v>
      </c>
      <c r="C1885" s="195" t="s">
        <v>2377</v>
      </c>
      <c r="D1885" s="64">
        <v>2010</v>
      </c>
      <c r="E1885" s="195" t="s">
        <v>373</v>
      </c>
      <c r="F1885" s="71" t="s">
        <v>367</v>
      </c>
      <c r="G1885" s="71" t="s">
        <v>4192</v>
      </c>
      <c r="H1885" s="71" t="s">
        <v>4184</v>
      </c>
      <c r="I1885" s="71" t="s">
        <v>4185</v>
      </c>
    </row>
    <row r="1886" spans="1:9" ht="43.5" x14ac:dyDescent="0.35">
      <c r="A1886" s="195">
        <v>13</v>
      </c>
      <c r="B1886" s="195">
        <v>38</v>
      </c>
      <c r="C1886" s="195" t="s">
        <v>2378</v>
      </c>
      <c r="D1886" s="64">
        <v>19800</v>
      </c>
      <c r="E1886" s="195" t="s">
        <v>373</v>
      </c>
      <c r="F1886" s="71" t="s">
        <v>367</v>
      </c>
      <c r="G1886" s="71" t="s">
        <v>4192</v>
      </c>
      <c r="H1886" s="71" t="s">
        <v>4184</v>
      </c>
      <c r="I1886" s="71" t="s">
        <v>4186</v>
      </c>
    </row>
    <row r="1887" spans="1:9" ht="58" x14ac:dyDescent="0.35">
      <c r="A1887" s="195">
        <v>13</v>
      </c>
      <c r="B1887" s="195">
        <v>39</v>
      </c>
      <c r="C1887" s="195" t="s">
        <v>2379</v>
      </c>
      <c r="D1887" s="64">
        <v>23780</v>
      </c>
      <c r="E1887" s="195" t="s">
        <v>366</v>
      </c>
      <c r="F1887" s="71" t="s">
        <v>367</v>
      </c>
      <c r="G1887" s="71" t="s">
        <v>4192</v>
      </c>
      <c r="H1887" s="71" t="s">
        <v>4187</v>
      </c>
      <c r="I1887" s="71" t="s">
        <v>4182</v>
      </c>
    </row>
    <row r="1888" spans="1:9" ht="58" x14ac:dyDescent="0.35">
      <c r="A1888" s="195">
        <v>13</v>
      </c>
      <c r="B1888" s="195">
        <v>40</v>
      </c>
      <c r="C1888" s="195" t="s">
        <v>2380</v>
      </c>
      <c r="D1888" s="64">
        <v>3105</v>
      </c>
      <c r="E1888" s="195" t="s">
        <v>373</v>
      </c>
      <c r="F1888" s="71" t="s">
        <v>367</v>
      </c>
      <c r="G1888" s="71" t="s">
        <v>4192</v>
      </c>
      <c r="H1888" s="71" t="s">
        <v>4187</v>
      </c>
      <c r="I1888" s="71" t="s">
        <v>4185</v>
      </c>
    </row>
    <row r="1889" spans="1:9" ht="58" x14ac:dyDescent="0.35">
      <c r="A1889" s="195">
        <v>13</v>
      </c>
      <c r="B1889" s="195">
        <v>41</v>
      </c>
      <c r="C1889" s="195" t="s">
        <v>2381</v>
      </c>
      <c r="D1889" s="64">
        <v>20675</v>
      </c>
      <c r="E1889" s="195" t="s">
        <v>373</v>
      </c>
      <c r="F1889" s="71" t="s">
        <v>367</v>
      </c>
      <c r="G1889" s="71" t="s">
        <v>4192</v>
      </c>
      <c r="H1889" s="71" t="s">
        <v>4187</v>
      </c>
      <c r="I1889" s="71" t="s">
        <v>4186</v>
      </c>
    </row>
    <row r="1890" spans="1:9" ht="58" x14ac:dyDescent="0.35">
      <c r="A1890" s="195">
        <v>13</v>
      </c>
      <c r="B1890" s="195">
        <v>42</v>
      </c>
      <c r="C1890" s="195" t="s">
        <v>2382</v>
      </c>
      <c r="D1890" s="64">
        <v>30955</v>
      </c>
      <c r="E1890" s="195" t="s">
        <v>366</v>
      </c>
      <c r="F1890" s="71" t="s">
        <v>367</v>
      </c>
      <c r="G1890" s="71" t="s">
        <v>4192</v>
      </c>
      <c r="H1890" s="71" t="s">
        <v>4188</v>
      </c>
      <c r="I1890" s="71" t="s">
        <v>4182</v>
      </c>
    </row>
    <row r="1891" spans="1:9" ht="58" x14ac:dyDescent="0.35">
      <c r="A1891" s="195">
        <v>13</v>
      </c>
      <c r="B1891" s="195">
        <v>43</v>
      </c>
      <c r="C1891" s="195" t="s">
        <v>2383</v>
      </c>
      <c r="D1891" s="64">
        <v>4045</v>
      </c>
      <c r="E1891" s="195" t="s">
        <v>373</v>
      </c>
      <c r="F1891" s="71" t="s">
        <v>367</v>
      </c>
      <c r="G1891" s="71" t="s">
        <v>4192</v>
      </c>
      <c r="H1891" s="71" t="s">
        <v>4188</v>
      </c>
      <c r="I1891" s="71" t="s">
        <v>4185</v>
      </c>
    </row>
    <row r="1892" spans="1:9" ht="58" x14ac:dyDescent="0.35">
      <c r="A1892" s="195">
        <v>13</v>
      </c>
      <c r="B1892" s="195">
        <v>44</v>
      </c>
      <c r="C1892" s="195" t="s">
        <v>2384</v>
      </c>
      <c r="D1892" s="64">
        <v>26915</v>
      </c>
      <c r="E1892" s="195" t="s">
        <v>373</v>
      </c>
      <c r="F1892" s="71" t="s">
        <v>367</v>
      </c>
      <c r="G1892" s="71" t="s">
        <v>4192</v>
      </c>
      <c r="H1892" s="71" t="s">
        <v>4188</v>
      </c>
      <c r="I1892" s="71" t="s">
        <v>4186</v>
      </c>
    </row>
    <row r="1893" spans="1:9" ht="58" x14ac:dyDescent="0.35">
      <c r="A1893" s="195">
        <v>13</v>
      </c>
      <c r="B1893" s="195">
        <v>45</v>
      </c>
      <c r="C1893" s="195" t="s">
        <v>2385</v>
      </c>
      <c r="D1893" s="64">
        <v>18940</v>
      </c>
      <c r="E1893" s="195" t="s">
        <v>366</v>
      </c>
      <c r="F1893" s="71" t="s">
        <v>367</v>
      </c>
      <c r="G1893" s="71" t="s">
        <v>4192</v>
      </c>
      <c r="H1893" s="71" t="s">
        <v>4189</v>
      </c>
      <c r="I1893" s="71" t="s">
        <v>4182</v>
      </c>
    </row>
    <row r="1894" spans="1:9" ht="58" x14ac:dyDescent="0.35">
      <c r="A1894" s="195">
        <v>13</v>
      </c>
      <c r="B1894" s="195">
        <v>46</v>
      </c>
      <c r="C1894" s="195" t="s">
        <v>2386</v>
      </c>
      <c r="D1894" s="64">
        <v>2745</v>
      </c>
      <c r="E1894" s="195" t="s">
        <v>373</v>
      </c>
      <c r="F1894" s="71" t="s">
        <v>367</v>
      </c>
      <c r="G1894" s="71" t="s">
        <v>4192</v>
      </c>
      <c r="H1894" s="71" t="s">
        <v>4189</v>
      </c>
      <c r="I1894" s="71" t="s">
        <v>4185</v>
      </c>
    </row>
    <row r="1895" spans="1:9" ht="58" x14ac:dyDescent="0.35">
      <c r="A1895" s="195">
        <v>13</v>
      </c>
      <c r="B1895" s="195">
        <v>47</v>
      </c>
      <c r="C1895" s="195" t="s">
        <v>2387</v>
      </c>
      <c r="D1895" s="64">
        <v>16190</v>
      </c>
      <c r="E1895" s="195" t="s">
        <v>373</v>
      </c>
      <c r="F1895" s="71" t="s">
        <v>367</v>
      </c>
      <c r="G1895" s="71" t="s">
        <v>4192</v>
      </c>
      <c r="H1895" s="71" t="s">
        <v>4189</v>
      </c>
      <c r="I1895" s="71" t="s">
        <v>4186</v>
      </c>
    </row>
    <row r="1896" spans="1:9" ht="43.5" x14ac:dyDescent="0.35">
      <c r="A1896" s="195">
        <v>13</v>
      </c>
      <c r="B1896" s="195">
        <v>48</v>
      </c>
      <c r="C1896" s="195" t="s">
        <v>2388</v>
      </c>
      <c r="D1896" s="64">
        <v>94015</v>
      </c>
      <c r="E1896" s="195" t="s">
        <v>366</v>
      </c>
      <c r="F1896" s="71" t="s">
        <v>367</v>
      </c>
      <c r="G1896" s="71" t="s">
        <v>4192</v>
      </c>
      <c r="H1896" s="71" t="s">
        <v>4190</v>
      </c>
      <c r="I1896" s="71" t="s">
        <v>4182</v>
      </c>
    </row>
    <row r="1897" spans="1:9" ht="43.5" x14ac:dyDescent="0.35">
      <c r="A1897" s="195">
        <v>13</v>
      </c>
      <c r="B1897" s="195">
        <v>49</v>
      </c>
      <c r="C1897" s="195" t="s">
        <v>2389</v>
      </c>
      <c r="D1897" s="64">
        <v>13950</v>
      </c>
      <c r="E1897" s="195" t="s">
        <v>373</v>
      </c>
      <c r="F1897" s="71" t="s">
        <v>367</v>
      </c>
      <c r="G1897" s="71" t="s">
        <v>4192</v>
      </c>
      <c r="H1897" s="71" t="s">
        <v>4190</v>
      </c>
      <c r="I1897" s="71" t="s">
        <v>4185</v>
      </c>
    </row>
    <row r="1898" spans="1:9" ht="43.5" x14ac:dyDescent="0.35">
      <c r="A1898" s="195">
        <v>13</v>
      </c>
      <c r="B1898" s="195">
        <v>50</v>
      </c>
      <c r="C1898" s="195" t="s">
        <v>2390</v>
      </c>
      <c r="D1898" s="64">
        <v>80065</v>
      </c>
      <c r="E1898" s="195" t="s">
        <v>373</v>
      </c>
      <c r="F1898" s="71" t="s">
        <v>367</v>
      </c>
      <c r="G1898" s="71" t="s">
        <v>4192</v>
      </c>
      <c r="H1898" s="71" t="s">
        <v>4190</v>
      </c>
      <c r="I1898" s="71" t="s">
        <v>4186</v>
      </c>
    </row>
    <row r="1899" spans="1:9" x14ac:dyDescent="0.35">
      <c r="A1899" s="195">
        <v>13</v>
      </c>
      <c r="B1899" s="195">
        <v>51</v>
      </c>
      <c r="C1899" s="195" t="s">
        <v>2391</v>
      </c>
      <c r="D1899" s="64">
        <v>582690</v>
      </c>
      <c r="E1899" s="195" t="s">
        <v>366</v>
      </c>
      <c r="F1899" s="71" t="s">
        <v>508</v>
      </c>
      <c r="G1899" s="71" t="s">
        <v>4180</v>
      </c>
      <c r="H1899" s="71" t="s">
        <v>4181</v>
      </c>
      <c r="I1899" s="71" t="s">
        <v>4182</v>
      </c>
    </row>
    <row r="1900" spans="1:9" ht="29" x14ac:dyDescent="0.35">
      <c r="A1900" s="195">
        <v>13</v>
      </c>
      <c r="B1900" s="195">
        <v>52</v>
      </c>
      <c r="C1900" s="195" t="s">
        <v>2392</v>
      </c>
      <c r="D1900" s="64">
        <v>110435</v>
      </c>
      <c r="E1900" s="195" t="s">
        <v>366</v>
      </c>
      <c r="F1900" s="71" t="s">
        <v>508</v>
      </c>
      <c r="G1900" s="71" t="s">
        <v>4183</v>
      </c>
      <c r="H1900" s="71" t="s">
        <v>4181</v>
      </c>
      <c r="I1900" s="71" t="s">
        <v>4182</v>
      </c>
    </row>
    <row r="1901" spans="1:9" ht="43.5" x14ac:dyDescent="0.35">
      <c r="A1901" s="195">
        <v>13</v>
      </c>
      <c r="B1901" s="195">
        <v>53</v>
      </c>
      <c r="C1901" s="195" t="s">
        <v>2393</v>
      </c>
      <c r="D1901" s="64">
        <v>34700</v>
      </c>
      <c r="E1901" s="195" t="s">
        <v>366</v>
      </c>
      <c r="F1901" s="71" t="s">
        <v>508</v>
      </c>
      <c r="G1901" s="71" t="s">
        <v>4183</v>
      </c>
      <c r="H1901" s="71" t="s">
        <v>4184</v>
      </c>
      <c r="I1901" s="71" t="s">
        <v>4182</v>
      </c>
    </row>
    <row r="1902" spans="1:9" ht="43.5" x14ac:dyDescent="0.35">
      <c r="A1902" s="195">
        <v>13</v>
      </c>
      <c r="B1902" s="195">
        <v>54</v>
      </c>
      <c r="C1902" s="195" t="s">
        <v>2394</v>
      </c>
      <c r="D1902" s="64">
        <v>4755</v>
      </c>
      <c r="E1902" s="195" t="s">
        <v>373</v>
      </c>
      <c r="F1902" s="71" t="s">
        <v>508</v>
      </c>
      <c r="G1902" s="71" t="s">
        <v>4183</v>
      </c>
      <c r="H1902" s="71" t="s">
        <v>4184</v>
      </c>
      <c r="I1902" s="71" t="s">
        <v>4185</v>
      </c>
    </row>
    <row r="1903" spans="1:9" ht="43.5" x14ac:dyDescent="0.35">
      <c r="A1903" s="195">
        <v>13</v>
      </c>
      <c r="B1903" s="195">
        <v>55</v>
      </c>
      <c r="C1903" s="195" t="s">
        <v>2395</v>
      </c>
      <c r="D1903" s="64">
        <v>29945</v>
      </c>
      <c r="E1903" s="195" t="s">
        <v>373</v>
      </c>
      <c r="F1903" s="71" t="s">
        <v>508</v>
      </c>
      <c r="G1903" s="71" t="s">
        <v>4183</v>
      </c>
      <c r="H1903" s="71" t="s">
        <v>4184</v>
      </c>
      <c r="I1903" s="71" t="s">
        <v>4186</v>
      </c>
    </row>
    <row r="1904" spans="1:9" ht="58" x14ac:dyDescent="0.35">
      <c r="A1904" s="195">
        <v>13</v>
      </c>
      <c r="B1904" s="195">
        <v>56</v>
      </c>
      <c r="C1904" s="195" t="s">
        <v>2396</v>
      </c>
      <c r="D1904" s="64">
        <v>13595</v>
      </c>
      <c r="E1904" s="195" t="s">
        <v>366</v>
      </c>
      <c r="F1904" s="71" t="s">
        <v>508</v>
      </c>
      <c r="G1904" s="71" t="s">
        <v>4183</v>
      </c>
      <c r="H1904" s="71" t="s">
        <v>4187</v>
      </c>
      <c r="I1904" s="71" t="s">
        <v>4182</v>
      </c>
    </row>
    <row r="1905" spans="1:9" ht="58" x14ac:dyDescent="0.35">
      <c r="A1905" s="195">
        <v>13</v>
      </c>
      <c r="B1905" s="195">
        <v>57</v>
      </c>
      <c r="C1905" s="195" t="s">
        <v>2397</v>
      </c>
      <c r="D1905" s="64">
        <v>2345</v>
      </c>
      <c r="E1905" s="195" t="s">
        <v>373</v>
      </c>
      <c r="F1905" s="71" t="s">
        <v>508</v>
      </c>
      <c r="G1905" s="71" t="s">
        <v>4183</v>
      </c>
      <c r="H1905" s="71" t="s">
        <v>4187</v>
      </c>
      <c r="I1905" s="71" t="s">
        <v>4185</v>
      </c>
    </row>
    <row r="1906" spans="1:9" ht="58" x14ac:dyDescent="0.35">
      <c r="A1906" s="195">
        <v>13</v>
      </c>
      <c r="B1906" s="195">
        <v>58</v>
      </c>
      <c r="C1906" s="195" t="s">
        <v>2398</v>
      </c>
      <c r="D1906" s="64">
        <v>11255</v>
      </c>
      <c r="E1906" s="195" t="s">
        <v>373</v>
      </c>
      <c r="F1906" s="71" t="s">
        <v>508</v>
      </c>
      <c r="G1906" s="71" t="s">
        <v>4183</v>
      </c>
      <c r="H1906" s="71" t="s">
        <v>4187</v>
      </c>
      <c r="I1906" s="71" t="s">
        <v>4186</v>
      </c>
    </row>
    <row r="1907" spans="1:9" ht="58" x14ac:dyDescent="0.35">
      <c r="A1907" s="195">
        <v>13</v>
      </c>
      <c r="B1907" s="195">
        <v>59</v>
      </c>
      <c r="C1907" s="195" t="s">
        <v>2399</v>
      </c>
      <c r="D1907" s="64">
        <v>13210</v>
      </c>
      <c r="E1907" s="195" t="s">
        <v>366</v>
      </c>
      <c r="F1907" s="71" t="s">
        <v>508</v>
      </c>
      <c r="G1907" s="71" t="s">
        <v>4183</v>
      </c>
      <c r="H1907" s="71" t="s">
        <v>4188</v>
      </c>
      <c r="I1907" s="71" t="s">
        <v>4182</v>
      </c>
    </row>
    <row r="1908" spans="1:9" ht="58" x14ac:dyDescent="0.35">
      <c r="A1908" s="195">
        <v>13</v>
      </c>
      <c r="B1908" s="195">
        <v>60</v>
      </c>
      <c r="C1908" s="195" t="s">
        <v>2400</v>
      </c>
      <c r="D1908" s="64">
        <v>1550</v>
      </c>
      <c r="E1908" s="195" t="s">
        <v>373</v>
      </c>
      <c r="F1908" s="71" t="s">
        <v>508</v>
      </c>
      <c r="G1908" s="71" t="s">
        <v>4183</v>
      </c>
      <c r="H1908" s="71" t="s">
        <v>4188</v>
      </c>
      <c r="I1908" s="71" t="s">
        <v>4185</v>
      </c>
    </row>
    <row r="1909" spans="1:9" ht="58" x14ac:dyDescent="0.35">
      <c r="A1909" s="195">
        <v>13</v>
      </c>
      <c r="B1909" s="195">
        <v>61</v>
      </c>
      <c r="C1909" s="195" t="s">
        <v>2401</v>
      </c>
      <c r="D1909" s="64">
        <v>11665</v>
      </c>
      <c r="E1909" s="195" t="s">
        <v>373</v>
      </c>
      <c r="F1909" s="71" t="s">
        <v>508</v>
      </c>
      <c r="G1909" s="71" t="s">
        <v>4183</v>
      </c>
      <c r="H1909" s="71" t="s">
        <v>4188</v>
      </c>
      <c r="I1909" s="71" t="s">
        <v>4186</v>
      </c>
    </row>
    <row r="1910" spans="1:9" ht="58" x14ac:dyDescent="0.35">
      <c r="A1910" s="195">
        <v>13</v>
      </c>
      <c r="B1910" s="195">
        <v>62</v>
      </c>
      <c r="C1910" s="195" t="s">
        <v>2402</v>
      </c>
      <c r="D1910" s="64">
        <v>7725</v>
      </c>
      <c r="E1910" s="195" t="s">
        <v>366</v>
      </c>
      <c r="F1910" s="71" t="s">
        <v>508</v>
      </c>
      <c r="G1910" s="71" t="s">
        <v>4183</v>
      </c>
      <c r="H1910" s="71" t="s">
        <v>4189</v>
      </c>
      <c r="I1910" s="71" t="s">
        <v>4182</v>
      </c>
    </row>
    <row r="1911" spans="1:9" ht="58" x14ac:dyDescent="0.35">
      <c r="A1911" s="195">
        <v>13</v>
      </c>
      <c r="B1911" s="195">
        <v>63</v>
      </c>
      <c r="C1911" s="195" t="s">
        <v>2403</v>
      </c>
      <c r="D1911" s="64">
        <v>815</v>
      </c>
      <c r="E1911" s="195" t="s">
        <v>373</v>
      </c>
      <c r="F1911" s="71" t="s">
        <v>508</v>
      </c>
      <c r="G1911" s="71" t="s">
        <v>4183</v>
      </c>
      <c r="H1911" s="71" t="s">
        <v>4189</v>
      </c>
      <c r="I1911" s="71" t="s">
        <v>4185</v>
      </c>
    </row>
    <row r="1912" spans="1:9" ht="58" x14ac:dyDescent="0.35">
      <c r="A1912" s="195">
        <v>13</v>
      </c>
      <c r="B1912" s="195">
        <v>64</v>
      </c>
      <c r="C1912" s="195" t="s">
        <v>2404</v>
      </c>
      <c r="D1912" s="64">
        <v>6910</v>
      </c>
      <c r="E1912" s="195" t="s">
        <v>373</v>
      </c>
      <c r="F1912" s="71" t="s">
        <v>508</v>
      </c>
      <c r="G1912" s="71" t="s">
        <v>4183</v>
      </c>
      <c r="H1912" s="71" t="s">
        <v>4189</v>
      </c>
      <c r="I1912" s="71" t="s">
        <v>4186</v>
      </c>
    </row>
    <row r="1913" spans="1:9" ht="43.5" x14ac:dyDescent="0.35">
      <c r="A1913" s="195">
        <v>13</v>
      </c>
      <c r="B1913" s="195">
        <v>65</v>
      </c>
      <c r="C1913" s="195" t="s">
        <v>2405</v>
      </c>
      <c r="D1913" s="64">
        <v>41200</v>
      </c>
      <c r="E1913" s="195" t="s">
        <v>366</v>
      </c>
      <c r="F1913" s="71" t="s">
        <v>508</v>
      </c>
      <c r="G1913" s="71" t="s">
        <v>4183</v>
      </c>
      <c r="H1913" s="71" t="s">
        <v>4190</v>
      </c>
      <c r="I1913" s="71" t="s">
        <v>4182</v>
      </c>
    </row>
    <row r="1914" spans="1:9" ht="43.5" x14ac:dyDescent="0.35">
      <c r="A1914" s="195">
        <v>13</v>
      </c>
      <c r="B1914" s="195">
        <v>66</v>
      </c>
      <c r="C1914" s="195" t="s">
        <v>2406</v>
      </c>
      <c r="D1914" s="64">
        <v>3880</v>
      </c>
      <c r="E1914" s="195" t="s">
        <v>373</v>
      </c>
      <c r="F1914" s="71" t="s">
        <v>508</v>
      </c>
      <c r="G1914" s="71" t="s">
        <v>4183</v>
      </c>
      <c r="H1914" s="71" t="s">
        <v>4190</v>
      </c>
      <c r="I1914" s="71" t="s">
        <v>4185</v>
      </c>
    </row>
    <row r="1915" spans="1:9" ht="43.5" x14ac:dyDescent="0.35">
      <c r="A1915" s="195">
        <v>13</v>
      </c>
      <c r="B1915" s="195">
        <v>67</v>
      </c>
      <c r="C1915" s="195" t="s">
        <v>2407</v>
      </c>
      <c r="D1915" s="64">
        <v>37320</v>
      </c>
      <c r="E1915" s="195" t="s">
        <v>373</v>
      </c>
      <c r="F1915" s="71" t="s">
        <v>508</v>
      </c>
      <c r="G1915" s="71" t="s">
        <v>4183</v>
      </c>
      <c r="H1915" s="71" t="s">
        <v>4190</v>
      </c>
      <c r="I1915" s="71" t="s">
        <v>4186</v>
      </c>
    </row>
    <row r="1916" spans="1:9" ht="43.5" x14ac:dyDescent="0.35">
      <c r="A1916" s="195">
        <v>13</v>
      </c>
      <c r="B1916" s="195">
        <v>68</v>
      </c>
      <c r="C1916" s="195" t="s">
        <v>2408</v>
      </c>
      <c r="D1916" s="64">
        <v>217115</v>
      </c>
      <c r="E1916" s="195" t="s">
        <v>366</v>
      </c>
      <c r="F1916" s="71" t="s">
        <v>508</v>
      </c>
      <c r="G1916" s="71" t="s">
        <v>4191</v>
      </c>
      <c r="H1916" s="71" t="s">
        <v>4181</v>
      </c>
      <c r="I1916" s="71" t="s">
        <v>4182</v>
      </c>
    </row>
    <row r="1917" spans="1:9" ht="43.5" x14ac:dyDescent="0.35">
      <c r="A1917" s="195">
        <v>13</v>
      </c>
      <c r="B1917" s="195">
        <v>69</v>
      </c>
      <c r="C1917" s="195" t="s">
        <v>2409</v>
      </c>
      <c r="D1917" s="64">
        <v>73765</v>
      </c>
      <c r="E1917" s="195" t="s">
        <v>366</v>
      </c>
      <c r="F1917" s="71" t="s">
        <v>508</v>
      </c>
      <c r="G1917" s="71" t="s">
        <v>4191</v>
      </c>
      <c r="H1917" s="71" t="s">
        <v>4184</v>
      </c>
      <c r="I1917" s="71" t="s">
        <v>4182</v>
      </c>
    </row>
    <row r="1918" spans="1:9" ht="43.5" x14ac:dyDescent="0.35">
      <c r="A1918" s="195">
        <v>13</v>
      </c>
      <c r="B1918" s="195">
        <v>70</v>
      </c>
      <c r="C1918" s="195" t="s">
        <v>2410</v>
      </c>
      <c r="D1918" s="64">
        <v>14420</v>
      </c>
      <c r="E1918" s="195" t="s">
        <v>373</v>
      </c>
      <c r="F1918" s="71" t="s">
        <v>508</v>
      </c>
      <c r="G1918" s="71" t="s">
        <v>4191</v>
      </c>
      <c r="H1918" s="71" t="s">
        <v>4184</v>
      </c>
      <c r="I1918" s="71" t="s">
        <v>4185</v>
      </c>
    </row>
    <row r="1919" spans="1:9" ht="43.5" x14ac:dyDescent="0.35">
      <c r="A1919" s="195">
        <v>13</v>
      </c>
      <c r="B1919" s="195">
        <v>71</v>
      </c>
      <c r="C1919" s="195" t="s">
        <v>2411</v>
      </c>
      <c r="D1919" s="64">
        <v>59345</v>
      </c>
      <c r="E1919" s="195" t="s">
        <v>373</v>
      </c>
      <c r="F1919" s="71" t="s">
        <v>508</v>
      </c>
      <c r="G1919" s="71" t="s">
        <v>4191</v>
      </c>
      <c r="H1919" s="71" t="s">
        <v>4184</v>
      </c>
      <c r="I1919" s="71" t="s">
        <v>4186</v>
      </c>
    </row>
    <row r="1920" spans="1:9" ht="58" x14ac:dyDescent="0.35">
      <c r="A1920" s="195">
        <v>13</v>
      </c>
      <c r="B1920" s="195">
        <v>72</v>
      </c>
      <c r="C1920" s="195" t="s">
        <v>2412</v>
      </c>
      <c r="D1920" s="64">
        <v>38425</v>
      </c>
      <c r="E1920" s="195" t="s">
        <v>366</v>
      </c>
      <c r="F1920" s="71" t="s">
        <v>508</v>
      </c>
      <c r="G1920" s="71" t="s">
        <v>4191</v>
      </c>
      <c r="H1920" s="71" t="s">
        <v>4187</v>
      </c>
      <c r="I1920" s="71" t="s">
        <v>4182</v>
      </c>
    </row>
    <row r="1921" spans="1:9" ht="58" x14ac:dyDescent="0.35">
      <c r="A1921" s="195">
        <v>13</v>
      </c>
      <c r="B1921" s="195">
        <v>73</v>
      </c>
      <c r="C1921" s="195" t="s">
        <v>2413</v>
      </c>
      <c r="D1921" s="64">
        <v>7775</v>
      </c>
      <c r="E1921" s="195" t="s">
        <v>373</v>
      </c>
      <c r="F1921" s="71" t="s">
        <v>508</v>
      </c>
      <c r="G1921" s="71" t="s">
        <v>4191</v>
      </c>
      <c r="H1921" s="71" t="s">
        <v>4187</v>
      </c>
      <c r="I1921" s="71" t="s">
        <v>4185</v>
      </c>
    </row>
    <row r="1922" spans="1:9" ht="58" x14ac:dyDescent="0.35">
      <c r="A1922" s="195">
        <v>13</v>
      </c>
      <c r="B1922" s="195">
        <v>74</v>
      </c>
      <c r="C1922" s="195" t="s">
        <v>2414</v>
      </c>
      <c r="D1922" s="64">
        <v>30645</v>
      </c>
      <c r="E1922" s="195" t="s">
        <v>373</v>
      </c>
      <c r="F1922" s="71" t="s">
        <v>508</v>
      </c>
      <c r="G1922" s="71" t="s">
        <v>4191</v>
      </c>
      <c r="H1922" s="71" t="s">
        <v>4187</v>
      </c>
      <c r="I1922" s="71" t="s">
        <v>4186</v>
      </c>
    </row>
    <row r="1923" spans="1:9" ht="58" x14ac:dyDescent="0.35">
      <c r="A1923" s="195">
        <v>13</v>
      </c>
      <c r="B1923" s="195">
        <v>75</v>
      </c>
      <c r="C1923" s="195" t="s">
        <v>2415</v>
      </c>
      <c r="D1923" s="64">
        <v>38910</v>
      </c>
      <c r="E1923" s="195" t="s">
        <v>366</v>
      </c>
      <c r="F1923" s="71" t="s">
        <v>508</v>
      </c>
      <c r="G1923" s="71" t="s">
        <v>4191</v>
      </c>
      <c r="H1923" s="71" t="s">
        <v>4188</v>
      </c>
      <c r="I1923" s="71" t="s">
        <v>4182</v>
      </c>
    </row>
    <row r="1924" spans="1:9" ht="58" x14ac:dyDescent="0.35">
      <c r="A1924" s="195">
        <v>13</v>
      </c>
      <c r="B1924" s="195">
        <v>76</v>
      </c>
      <c r="C1924" s="195" t="s">
        <v>2416</v>
      </c>
      <c r="D1924" s="64">
        <v>5455</v>
      </c>
      <c r="E1924" s="195" t="s">
        <v>373</v>
      </c>
      <c r="F1924" s="71" t="s">
        <v>508</v>
      </c>
      <c r="G1924" s="71" t="s">
        <v>4191</v>
      </c>
      <c r="H1924" s="71" t="s">
        <v>4188</v>
      </c>
      <c r="I1924" s="71" t="s">
        <v>4185</v>
      </c>
    </row>
    <row r="1925" spans="1:9" ht="58" x14ac:dyDescent="0.35">
      <c r="A1925" s="195">
        <v>13</v>
      </c>
      <c r="B1925" s="195">
        <v>77</v>
      </c>
      <c r="C1925" s="195" t="s">
        <v>2417</v>
      </c>
      <c r="D1925" s="64">
        <v>33455</v>
      </c>
      <c r="E1925" s="195" t="s">
        <v>373</v>
      </c>
      <c r="F1925" s="71" t="s">
        <v>508</v>
      </c>
      <c r="G1925" s="71" t="s">
        <v>4191</v>
      </c>
      <c r="H1925" s="71" t="s">
        <v>4188</v>
      </c>
      <c r="I1925" s="71" t="s">
        <v>4186</v>
      </c>
    </row>
    <row r="1926" spans="1:9" ht="58" x14ac:dyDescent="0.35">
      <c r="A1926" s="195">
        <v>13</v>
      </c>
      <c r="B1926" s="195">
        <v>78</v>
      </c>
      <c r="C1926" s="195" t="s">
        <v>2418</v>
      </c>
      <c r="D1926" s="64">
        <v>17765</v>
      </c>
      <c r="E1926" s="195" t="s">
        <v>366</v>
      </c>
      <c r="F1926" s="71" t="s">
        <v>508</v>
      </c>
      <c r="G1926" s="71" t="s">
        <v>4191</v>
      </c>
      <c r="H1926" s="71" t="s">
        <v>4189</v>
      </c>
      <c r="I1926" s="71" t="s">
        <v>4182</v>
      </c>
    </row>
    <row r="1927" spans="1:9" ht="58" x14ac:dyDescent="0.35">
      <c r="A1927" s="195">
        <v>13</v>
      </c>
      <c r="B1927" s="195">
        <v>79</v>
      </c>
      <c r="C1927" s="195" t="s">
        <v>2419</v>
      </c>
      <c r="D1927" s="64">
        <v>1615</v>
      </c>
      <c r="E1927" s="195" t="s">
        <v>373</v>
      </c>
      <c r="F1927" s="71" t="s">
        <v>508</v>
      </c>
      <c r="G1927" s="71" t="s">
        <v>4191</v>
      </c>
      <c r="H1927" s="71" t="s">
        <v>4189</v>
      </c>
      <c r="I1927" s="71" t="s">
        <v>4185</v>
      </c>
    </row>
    <row r="1928" spans="1:9" ht="58" x14ac:dyDescent="0.35">
      <c r="A1928" s="195">
        <v>13</v>
      </c>
      <c r="B1928" s="195">
        <v>80</v>
      </c>
      <c r="C1928" s="195" t="s">
        <v>2420</v>
      </c>
      <c r="D1928" s="64">
        <v>16150</v>
      </c>
      <c r="E1928" s="195" t="s">
        <v>373</v>
      </c>
      <c r="F1928" s="71" t="s">
        <v>508</v>
      </c>
      <c r="G1928" s="71" t="s">
        <v>4191</v>
      </c>
      <c r="H1928" s="71" t="s">
        <v>4189</v>
      </c>
      <c r="I1928" s="71" t="s">
        <v>4186</v>
      </c>
    </row>
    <row r="1929" spans="1:9" ht="43.5" x14ac:dyDescent="0.35">
      <c r="A1929" s="195">
        <v>13</v>
      </c>
      <c r="B1929" s="195">
        <v>81</v>
      </c>
      <c r="C1929" s="195" t="s">
        <v>2421</v>
      </c>
      <c r="D1929" s="64">
        <v>48250</v>
      </c>
      <c r="E1929" s="195" t="s">
        <v>366</v>
      </c>
      <c r="F1929" s="71" t="s">
        <v>508</v>
      </c>
      <c r="G1929" s="71" t="s">
        <v>4191</v>
      </c>
      <c r="H1929" s="71" t="s">
        <v>4190</v>
      </c>
      <c r="I1929" s="71" t="s">
        <v>4182</v>
      </c>
    </row>
    <row r="1930" spans="1:9" ht="43.5" x14ac:dyDescent="0.35">
      <c r="A1930" s="195">
        <v>13</v>
      </c>
      <c r="B1930" s="195">
        <v>82</v>
      </c>
      <c r="C1930" s="195" t="s">
        <v>2422</v>
      </c>
      <c r="D1930" s="64">
        <v>4110</v>
      </c>
      <c r="E1930" s="195" t="s">
        <v>373</v>
      </c>
      <c r="F1930" s="71" t="s">
        <v>508</v>
      </c>
      <c r="G1930" s="71" t="s">
        <v>4191</v>
      </c>
      <c r="H1930" s="71" t="s">
        <v>4190</v>
      </c>
      <c r="I1930" s="71" t="s">
        <v>4185</v>
      </c>
    </row>
    <row r="1931" spans="1:9" ht="43.5" x14ac:dyDescent="0.35">
      <c r="A1931" s="195">
        <v>13</v>
      </c>
      <c r="B1931" s="195">
        <v>83</v>
      </c>
      <c r="C1931" s="195" t="s">
        <v>2423</v>
      </c>
      <c r="D1931" s="64">
        <v>44145</v>
      </c>
      <c r="E1931" s="195" t="s">
        <v>373</v>
      </c>
      <c r="F1931" s="71" t="s">
        <v>508</v>
      </c>
      <c r="G1931" s="71" t="s">
        <v>4191</v>
      </c>
      <c r="H1931" s="71" t="s">
        <v>4190</v>
      </c>
      <c r="I1931" s="71" t="s">
        <v>4186</v>
      </c>
    </row>
    <row r="1932" spans="1:9" ht="29" x14ac:dyDescent="0.35">
      <c r="A1932" s="195">
        <v>13</v>
      </c>
      <c r="B1932" s="195">
        <v>84</v>
      </c>
      <c r="C1932" s="195" t="s">
        <v>2424</v>
      </c>
      <c r="D1932" s="64">
        <v>255140</v>
      </c>
      <c r="E1932" s="195" t="s">
        <v>366</v>
      </c>
      <c r="F1932" s="71" t="s">
        <v>508</v>
      </c>
      <c r="G1932" s="71" t="s">
        <v>4192</v>
      </c>
      <c r="H1932" s="71" t="s">
        <v>4181</v>
      </c>
      <c r="I1932" s="71" t="s">
        <v>4182</v>
      </c>
    </row>
    <row r="1933" spans="1:9" ht="43.5" x14ac:dyDescent="0.35">
      <c r="A1933" s="195">
        <v>13</v>
      </c>
      <c r="B1933" s="195">
        <v>85</v>
      </c>
      <c r="C1933" s="195" t="s">
        <v>2425</v>
      </c>
      <c r="D1933" s="64">
        <v>82975</v>
      </c>
      <c r="E1933" s="195" t="s">
        <v>366</v>
      </c>
      <c r="F1933" s="71" t="s">
        <v>508</v>
      </c>
      <c r="G1933" s="71" t="s">
        <v>4192</v>
      </c>
      <c r="H1933" s="71" t="s">
        <v>4184</v>
      </c>
      <c r="I1933" s="71" t="s">
        <v>4182</v>
      </c>
    </row>
    <row r="1934" spans="1:9" ht="43.5" x14ac:dyDescent="0.35">
      <c r="A1934" s="195">
        <v>13</v>
      </c>
      <c r="B1934" s="195">
        <v>86</v>
      </c>
      <c r="C1934" s="195" t="s">
        <v>2426</v>
      </c>
      <c r="D1934" s="64">
        <v>18215</v>
      </c>
      <c r="E1934" s="195" t="s">
        <v>373</v>
      </c>
      <c r="F1934" s="71" t="s">
        <v>508</v>
      </c>
      <c r="G1934" s="71" t="s">
        <v>4192</v>
      </c>
      <c r="H1934" s="71" t="s">
        <v>4184</v>
      </c>
      <c r="I1934" s="71" t="s">
        <v>4185</v>
      </c>
    </row>
    <row r="1935" spans="1:9" ht="43.5" x14ac:dyDescent="0.35">
      <c r="A1935" s="195">
        <v>13</v>
      </c>
      <c r="B1935" s="195">
        <v>87</v>
      </c>
      <c r="C1935" s="195" t="s">
        <v>2427</v>
      </c>
      <c r="D1935" s="64">
        <v>64760</v>
      </c>
      <c r="E1935" s="195" t="s">
        <v>373</v>
      </c>
      <c r="F1935" s="71" t="s">
        <v>508</v>
      </c>
      <c r="G1935" s="71" t="s">
        <v>4192</v>
      </c>
      <c r="H1935" s="71" t="s">
        <v>4184</v>
      </c>
      <c r="I1935" s="71" t="s">
        <v>4186</v>
      </c>
    </row>
    <row r="1936" spans="1:9" ht="58" x14ac:dyDescent="0.35">
      <c r="A1936" s="195">
        <v>13</v>
      </c>
      <c r="B1936" s="195">
        <v>88</v>
      </c>
      <c r="C1936" s="195" t="s">
        <v>2428</v>
      </c>
      <c r="D1936" s="64">
        <v>47365</v>
      </c>
      <c r="E1936" s="195" t="s">
        <v>366</v>
      </c>
      <c r="F1936" s="71" t="s">
        <v>508</v>
      </c>
      <c r="G1936" s="71" t="s">
        <v>4192</v>
      </c>
      <c r="H1936" s="71" t="s">
        <v>4187</v>
      </c>
      <c r="I1936" s="71" t="s">
        <v>4182</v>
      </c>
    </row>
    <row r="1937" spans="1:9" ht="58" x14ac:dyDescent="0.35">
      <c r="A1937" s="195">
        <v>13</v>
      </c>
      <c r="B1937" s="195">
        <v>89</v>
      </c>
      <c r="C1937" s="195" t="s">
        <v>2429</v>
      </c>
      <c r="D1937" s="64">
        <v>10480</v>
      </c>
      <c r="E1937" s="195" t="s">
        <v>373</v>
      </c>
      <c r="F1937" s="71" t="s">
        <v>508</v>
      </c>
      <c r="G1937" s="71" t="s">
        <v>4192</v>
      </c>
      <c r="H1937" s="71" t="s">
        <v>4187</v>
      </c>
      <c r="I1937" s="71" t="s">
        <v>4185</v>
      </c>
    </row>
    <row r="1938" spans="1:9" ht="58" x14ac:dyDescent="0.35">
      <c r="A1938" s="195">
        <v>13</v>
      </c>
      <c r="B1938" s="195">
        <v>90</v>
      </c>
      <c r="C1938" s="195" t="s">
        <v>2430</v>
      </c>
      <c r="D1938" s="64">
        <v>36885</v>
      </c>
      <c r="E1938" s="195" t="s">
        <v>373</v>
      </c>
      <c r="F1938" s="71" t="s">
        <v>508</v>
      </c>
      <c r="G1938" s="71" t="s">
        <v>4192</v>
      </c>
      <c r="H1938" s="71" t="s">
        <v>4187</v>
      </c>
      <c r="I1938" s="71" t="s">
        <v>4186</v>
      </c>
    </row>
    <row r="1939" spans="1:9" ht="58" x14ac:dyDescent="0.35">
      <c r="A1939" s="195">
        <v>13</v>
      </c>
      <c r="B1939" s="195">
        <v>91</v>
      </c>
      <c r="C1939" s="195" t="s">
        <v>2431</v>
      </c>
      <c r="D1939" s="64">
        <v>47260</v>
      </c>
      <c r="E1939" s="195" t="s">
        <v>366</v>
      </c>
      <c r="F1939" s="71" t="s">
        <v>508</v>
      </c>
      <c r="G1939" s="71" t="s">
        <v>4192</v>
      </c>
      <c r="H1939" s="71" t="s">
        <v>4188</v>
      </c>
      <c r="I1939" s="71" t="s">
        <v>4182</v>
      </c>
    </row>
    <row r="1940" spans="1:9" ht="58" x14ac:dyDescent="0.35">
      <c r="A1940" s="195">
        <v>13</v>
      </c>
      <c r="B1940" s="195">
        <v>92</v>
      </c>
      <c r="C1940" s="195" t="s">
        <v>2432</v>
      </c>
      <c r="D1940" s="64">
        <v>7525</v>
      </c>
      <c r="E1940" s="195" t="s">
        <v>373</v>
      </c>
      <c r="F1940" s="71" t="s">
        <v>508</v>
      </c>
      <c r="G1940" s="71" t="s">
        <v>4192</v>
      </c>
      <c r="H1940" s="71" t="s">
        <v>4188</v>
      </c>
      <c r="I1940" s="71" t="s">
        <v>4185</v>
      </c>
    </row>
    <row r="1941" spans="1:9" ht="58" x14ac:dyDescent="0.35">
      <c r="A1941" s="195">
        <v>13</v>
      </c>
      <c r="B1941" s="195">
        <v>93</v>
      </c>
      <c r="C1941" s="195" t="s">
        <v>2433</v>
      </c>
      <c r="D1941" s="64">
        <v>39735</v>
      </c>
      <c r="E1941" s="195" t="s">
        <v>373</v>
      </c>
      <c r="F1941" s="71" t="s">
        <v>508</v>
      </c>
      <c r="G1941" s="71" t="s">
        <v>4192</v>
      </c>
      <c r="H1941" s="71" t="s">
        <v>4188</v>
      </c>
      <c r="I1941" s="71" t="s">
        <v>4186</v>
      </c>
    </row>
    <row r="1942" spans="1:9" ht="58" x14ac:dyDescent="0.35">
      <c r="A1942" s="195">
        <v>13</v>
      </c>
      <c r="B1942" s="195">
        <v>94</v>
      </c>
      <c r="C1942" s="195" t="s">
        <v>2434</v>
      </c>
      <c r="D1942" s="64">
        <v>20200</v>
      </c>
      <c r="E1942" s="195" t="s">
        <v>366</v>
      </c>
      <c r="F1942" s="71" t="s">
        <v>508</v>
      </c>
      <c r="G1942" s="71" t="s">
        <v>4192</v>
      </c>
      <c r="H1942" s="71" t="s">
        <v>4189</v>
      </c>
      <c r="I1942" s="71" t="s">
        <v>4182</v>
      </c>
    </row>
    <row r="1943" spans="1:9" ht="58" x14ac:dyDescent="0.35">
      <c r="A1943" s="195">
        <v>13</v>
      </c>
      <c r="B1943" s="195">
        <v>95</v>
      </c>
      <c r="C1943" s="195" t="s">
        <v>2435</v>
      </c>
      <c r="D1943" s="64">
        <v>2490</v>
      </c>
      <c r="E1943" s="195" t="s">
        <v>373</v>
      </c>
      <c r="F1943" s="71" t="s">
        <v>508</v>
      </c>
      <c r="G1943" s="71" t="s">
        <v>4192</v>
      </c>
      <c r="H1943" s="71" t="s">
        <v>4189</v>
      </c>
      <c r="I1943" s="71" t="s">
        <v>4185</v>
      </c>
    </row>
    <row r="1944" spans="1:9" ht="58" x14ac:dyDescent="0.35">
      <c r="A1944" s="195">
        <v>13</v>
      </c>
      <c r="B1944" s="195">
        <v>96</v>
      </c>
      <c r="C1944" s="195" t="s">
        <v>2436</v>
      </c>
      <c r="D1944" s="64">
        <v>17710</v>
      </c>
      <c r="E1944" s="195" t="s">
        <v>373</v>
      </c>
      <c r="F1944" s="71" t="s">
        <v>508</v>
      </c>
      <c r="G1944" s="71" t="s">
        <v>4192</v>
      </c>
      <c r="H1944" s="71" t="s">
        <v>4189</v>
      </c>
      <c r="I1944" s="71" t="s">
        <v>4186</v>
      </c>
    </row>
    <row r="1945" spans="1:9" ht="43.5" x14ac:dyDescent="0.35">
      <c r="A1945" s="195">
        <v>13</v>
      </c>
      <c r="B1945" s="195">
        <v>97</v>
      </c>
      <c r="C1945" s="195" t="s">
        <v>2437</v>
      </c>
      <c r="D1945" s="64">
        <v>57340</v>
      </c>
      <c r="E1945" s="195" t="s">
        <v>366</v>
      </c>
      <c r="F1945" s="71" t="s">
        <v>508</v>
      </c>
      <c r="G1945" s="71" t="s">
        <v>4192</v>
      </c>
      <c r="H1945" s="71" t="s">
        <v>4190</v>
      </c>
      <c r="I1945" s="71" t="s">
        <v>4182</v>
      </c>
    </row>
    <row r="1946" spans="1:9" ht="43.5" x14ac:dyDescent="0.35">
      <c r="A1946" s="195">
        <v>13</v>
      </c>
      <c r="B1946" s="195">
        <v>98</v>
      </c>
      <c r="C1946" s="195" t="s">
        <v>2438</v>
      </c>
      <c r="D1946" s="64">
        <v>4920</v>
      </c>
      <c r="E1946" s="195" t="s">
        <v>373</v>
      </c>
      <c r="F1946" s="71" t="s">
        <v>508</v>
      </c>
      <c r="G1946" s="71" t="s">
        <v>4192</v>
      </c>
      <c r="H1946" s="71" t="s">
        <v>4190</v>
      </c>
      <c r="I1946" s="71" t="s">
        <v>4185</v>
      </c>
    </row>
    <row r="1947" spans="1:9" ht="43.5" x14ac:dyDescent="0.35">
      <c r="A1947" s="195">
        <v>13</v>
      </c>
      <c r="B1947" s="195">
        <v>99</v>
      </c>
      <c r="C1947" s="195" t="s">
        <v>2439</v>
      </c>
      <c r="D1947" s="64">
        <v>52415</v>
      </c>
      <c r="E1947" s="195" t="s">
        <v>373</v>
      </c>
      <c r="F1947" s="71" t="s">
        <v>508</v>
      </c>
      <c r="G1947" s="71" t="s">
        <v>4192</v>
      </c>
      <c r="H1947" s="71" t="s">
        <v>4190</v>
      </c>
      <c r="I1947" s="71" t="s">
        <v>4186</v>
      </c>
    </row>
    <row r="1948" spans="1:9" ht="29" x14ac:dyDescent="0.35">
      <c r="A1948" s="195">
        <v>14</v>
      </c>
      <c r="B1948" s="195">
        <v>1</v>
      </c>
      <c r="C1948" s="195" t="s">
        <v>2440</v>
      </c>
      <c r="D1948" s="64">
        <v>13415</v>
      </c>
      <c r="E1948" s="195" t="s">
        <v>26</v>
      </c>
      <c r="F1948" s="71" t="s">
        <v>2441</v>
      </c>
      <c r="G1948" s="71" t="s">
        <v>1653</v>
      </c>
      <c r="H1948" s="71" t="s">
        <v>2442</v>
      </c>
      <c r="I1948" s="71" t="s">
        <v>2443</v>
      </c>
    </row>
    <row r="1949" spans="1:9" ht="29" x14ac:dyDescent="0.35">
      <c r="A1949" s="195">
        <v>14</v>
      </c>
      <c r="B1949" s="195">
        <v>1</v>
      </c>
      <c r="C1949" s="195" t="s">
        <v>2444</v>
      </c>
      <c r="D1949" s="64">
        <v>40065</v>
      </c>
      <c r="E1949" s="195" t="s">
        <v>26</v>
      </c>
      <c r="F1949" s="71" t="s">
        <v>2445</v>
      </c>
      <c r="G1949" s="71" t="s">
        <v>1653</v>
      </c>
      <c r="H1949" s="71" t="s">
        <v>2446</v>
      </c>
      <c r="I1949" s="71" t="s">
        <v>2443</v>
      </c>
    </row>
    <row r="1950" spans="1:9" ht="43.5" x14ac:dyDescent="0.35">
      <c r="A1950" s="195">
        <v>14</v>
      </c>
      <c r="B1950" s="195">
        <v>2</v>
      </c>
      <c r="C1950" s="195" t="s">
        <v>2447</v>
      </c>
      <c r="D1950" s="64">
        <v>5465</v>
      </c>
      <c r="E1950" s="195" t="s">
        <v>373</v>
      </c>
      <c r="F1950" s="71" t="s">
        <v>2448</v>
      </c>
      <c r="G1950" s="71" t="s">
        <v>2449</v>
      </c>
      <c r="H1950" s="71" t="s">
        <v>2442</v>
      </c>
      <c r="I1950" s="71" t="s">
        <v>2443</v>
      </c>
    </row>
    <row r="1951" spans="1:9" ht="43.5" x14ac:dyDescent="0.35">
      <c r="A1951" s="195">
        <v>14</v>
      </c>
      <c r="B1951" s="195">
        <v>2</v>
      </c>
      <c r="C1951" s="195" t="s">
        <v>2450</v>
      </c>
      <c r="D1951" s="64">
        <v>5775</v>
      </c>
      <c r="E1951" s="195" t="s">
        <v>373</v>
      </c>
      <c r="F1951" s="71" t="s">
        <v>2451</v>
      </c>
      <c r="G1951" s="71" t="s">
        <v>2449</v>
      </c>
      <c r="H1951" s="71" t="s">
        <v>2446</v>
      </c>
      <c r="I1951" s="71" t="s">
        <v>2443</v>
      </c>
    </row>
    <row r="1952" spans="1:9" ht="43.5" x14ac:dyDescent="0.35">
      <c r="A1952" s="195">
        <v>14</v>
      </c>
      <c r="B1952" s="195">
        <v>3</v>
      </c>
      <c r="C1952" s="195" t="s">
        <v>2452</v>
      </c>
      <c r="D1952" s="64">
        <v>7950</v>
      </c>
      <c r="E1952" s="195" t="s">
        <v>366</v>
      </c>
      <c r="F1952" s="71" t="s">
        <v>2448</v>
      </c>
      <c r="G1952" s="71" t="s">
        <v>2453</v>
      </c>
      <c r="H1952" s="71" t="s">
        <v>2442</v>
      </c>
      <c r="I1952" s="71" t="s">
        <v>2443</v>
      </c>
    </row>
    <row r="1953" spans="1:9" ht="43.5" x14ac:dyDescent="0.35">
      <c r="A1953" s="195">
        <v>14</v>
      </c>
      <c r="B1953" s="195">
        <v>3</v>
      </c>
      <c r="C1953" s="195" t="s">
        <v>2454</v>
      </c>
      <c r="D1953" s="64">
        <v>34290</v>
      </c>
      <c r="E1953" s="195" t="s">
        <v>366</v>
      </c>
      <c r="F1953" s="71" t="s">
        <v>2451</v>
      </c>
      <c r="G1953" s="71" t="s">
        <v>2453</v>
      </c>
      <c r="H1953" s="71" t="s">
        <v>2446</v>
      </c>
      <c r="I1953" s="71" t="s">
        <v>2443</v>
      </c>
    </row>
    <row r="1954" spans="1:9" ht="43.5" x14ac:dyDescent="0.35">
      <c r="A1954" s="195">
        <v>14</v>
      </c>
      <c r="B1954" s="195">
        <v>4</v>
      </c>
      <c r="C1954" s="195" t="s">
        <v>2457</v>
      </c>
      <c r="D1954" s="64">
        <v>2210</v>
      </c>
      <c r="E1954" s="195" t="s">
        <v>366</v>
      </c>
      <c r="F1954" s="71" t="s">
        <v>2448</v>
      </c>
      <c r="G1954" s="71" t="s">
        <v>2453</v>
      </c>
      <c r="H1954" s="71" t="s">
        <v>2458</v>
      </c>
      <c r="I1954" s="71" t="s">
        <v>2443</v>
      </c>
    </row>
    <row r="1955" spans="1:9" ht="43.5" x14ac:dyDescent="0.35">
      <c r="A1955" s="195">
        <v>14</v>
      </c>
      <c r="B1955" s="195">
        <v>4</v>
      </c>
      <c r="C1955" s="195" t="s">
        <v>2455</v>
      </c>
      <c r="D1955" s="64">
        <v>3950</v>
      </c>
      <c r="E1955" s="195" t="s">
        <v>366</v>
      </c>
      <c r="F1955" s="71" t="s">
        <v>2451</v>
      </c>
      <c r="G1955" s="71" t="s">
        <v>2453</v>
      </c>
      <c r="H1955" s="71" t="s">
        <v>2456</v>
      </c>
      <c r="I1955" s="71" t="s">
        <v>2443</v>
      </c>
    </row>
    <row r="1956" spans="1:9" ht="43.5" x14ac:dyDescent="0.35">
      <c r="A1956" s="195">
        <v>14</v>
      </c>
      <c r="B1956" s="195">
        <v>5</v>
      </c>
      <c r="C1956" s="195" t="s">
        <v>2459</v>
      </c>
      <c r="D1956" s="64">
        <v>200</v>
      </c>
      <c r="E1956" s="195" t="s">
        <v>373</v>
      </c>
      <c r="F1956" s="71" t="s">
        <v>2448</v>
      </c>
      <c r="G1956" s="71" t="s">
        <v>2453</v>
      </c>
      <c r="H1956" s="71" t="s">
        <v>2458</v>
      </c>
      <c r="I1956" s="71" t="s">
        <v>2460</v>
      </c>
    </row>
    <row r="1957" spans="1:9" ht="43.5" x14ac:dyDescent="0.35">
      <c r="A1957" s="195">
        <v>14</v>
      </c>
      <c r="B1957" s="195">
        <v>5</v>
      </c>
      <c r="C1957" s="195" t="s">
        <v>2461</v>
      </c>
      <c r="D1957" s="195">
        <v>1275</v>
      </c>
      <c r="E1957" s="195" t="s">
        <v>373</v>
      </c>
      <c r="F1957" s="71" t="s">
        <v>2451</v>
      </c>
      <c r="G1957" s="71" t="s">
        <v>2453</v>
      </c>
      <c r="H1957" s="71" t="s">
        <v>2456</v>
      </c>
      <c r="I1957" s="71" t="s">
        <v>2460</v>
      </c>
    </row>
    <row r="1958" spans="1:9" ht="43.5" x14ac:dyDescent="0.35">
      <c r="A1958" s="195">
        <v>14</v>
      </c>
      <c r="B1958" s="195">
        <v>6</v>
      </c>
      <c r="C1958" s="195" t="s">
        <v>2464</v>
      </c>
      <c r="D1958" s="64">
        <v>815</v>
      </c>
      <c r="E1958" s="195" t="s">
        <v>373</v>
      </c>
      <c r="F1958" s="71" t="s">
        <v>2448</v>
      </c>
      <c r="G1958" s="71" t="s">
        <v>2453</v>
      </c>
      <c r="H1958" s="71" t="s">
        <v>2458</v>
      </c>
      <c r="I1958" s="71" t="s">
        <v>2463</v>
      </c>
    </row>
    <row r="1959" spans="1:9" ht="43.5" x14ac:dyDescent="0.35">
      <c r="A1959" s="195">
        <v>14</v>
      </c>
      <c r="B1959" s="195">
        <v>6</v>
      </c>
      <c r="C1959" s="195" t="s">
        <v>2462</v>
      </c>
      <c r="D1959" s="64">
        <v>1310</v>
      </c>
      <c r="E1959" s="195" t="s">
        <v>373</v>
      </c>
      <c r="F1959" s="71" t="s">
        <v>2451</v>
      </c>
      <c r="G1959" s="71" t="s">
        <v>2453</v>
      </c>
      <c r="H1959" s="71" t="s">
        <v>2456</v>
      </c>
      <c r="I1959" s="71" t="s">
        <v>2463</v>
      </c>
    </row>
    <row r="1960" spans="1:9" ht="43.5" x14ac:dyDescent="0.35">
      <c r="A1960" s="195">
        <v>14</v>
      </c>
      <c r="B1960" s="195">
        <v>7</v>
      </c>
      <c r="C1960" s="195" t="s">
        <v>2465</v>
      </c>
      <c r="D1960" s="64">
        <v>1190</v>
      </c>
      <c r="E1960" s="195" t="s">
        <v>373</v>
      </c>
      <c r="F1960" s="71" t="s">
        <v>2448</v>
      </c>
      <c r="G1960" s="71" t="s">
        <v>2453</v>
      </c>
      <c r="H1960" s="71" t="s">
        <v>2458</v>
      </c>
      <c r="I1960" s="71" t="s">
        <v>2466</v>
      </c>
    </row>
    <row r="1961" spans="1:9" ht="43.5" x14ac:dyDescent="0.35">
      <c r="A1961" s="195">
        <v>14</v>
      </c>
      <c r="B1961" s="195">
        <v>7</v>
      </c>
      <c r="C1961" s="195" t="s">
        <v>2467</v>
      </c>
      <c r="D1961" s="64">
        <v>1360</v>
      </c>
      <c r="E1961" s="195" t="s">
        <v>373</v>
      </c>
      <c r="F1961" s="71" t="s">
        <v>2451</v>
      </c>
      <c r="G1961" s="71" t="s">
        <v>2453</v>
      </c>
      <c r="H1961" s="71" t="s">
        <v>2456</v>
      </c>
      <c r="I1961" s="71" t="s">
        <v>2466</v>
      </c>
    </row>
    <row r="1962" spans="1:9" ht="43.5" x14ac:dyDescent="0.35">
      <c r="A1962" s="195">
        <v>14</v>
      </c>
      <c r="B1962" s="195">
        <v>8</v>
      </c>
      <c r="C1962" s="195" t="s">
        <v>2470</v>
      </c>
      <c r="D1962" s="64">
        <v>1760</v>
      </c>
      <c r="E1962" s="195" t="s">
        <v>366</v>
      </c>
      <c r="F1962" s="71" t="s">
        <v>2448</v>
      </c>
      <c r="G1962" s="71" t="s">
        <v>2453</v>
      </c>
      <c r="H1962" s="71" t="s">
        <v>2471</v>
      </c>
      <c r="I1962" s="71" t="s">
        <v>2443</v>
      </c>
    </row>
    <row r="1963" spans="1:9" ht="43.5" x14ac:dyDescent="0.35">
      <c r="A1963" s="195">
        <v>14</v>
      </c>
      <c r="B1963" s="195">
        <v>8</v>
      </c>
      <c r="C1963" s="195" t="s">
        <v>2468</v>
      </c>
      <c r="D1963" s="64">
        <v>14415</v>
      </c>
      <c r="E1963" s="195" t="s">
        <v>366</v>
      </c>
      <c r="F1963" s="71" t="s">
        <v>2451</v>
      </c>
      <c r="G1963" s="71" t="s">
        <v>2453</v>
      </c>
      <c r="H1963" s="71" t="s">
        <v>2469</v>
      </c>
      <c r="I1963" s="71" t="s">
        <v>2443</v>
      </c>
    </row>
    <row r="1964" spans="1:9" ht="43.5" x14ac:dyDescent="0.35">
      <c r="A1964" s="195">
        <v>14</v>
      </c>
      <c r="B1964" s="195">
        <v>9</v>
      </c>
      <c r="C1964" s="195" t="s">
        <v>2473</v>
      </c>
      <c r="D1964" s="64">
        <v>190</v>
      </c>
      <c r="E1964" s="195" t="s">
        <v>373</v>
      </c>
      <c r="F1964" s="71" t="s">
        <v>2448</v>
      </c>
      <c r="G1964" s="71" t="s">
        <v>2453</v>
      </c>
      <c r="H1964" s="71" t="s">
        <v>2471</v>
      </c>
      <c r="I1964" s="71" t="s">
        <v>2460</v>
      </c>
    </row>
    <row r="1965" spans="1:9" ht="43.5" x14ac:dyDescent="0.35">
      <c r="A1965" s="195">
        <v>14</v>
      </c>
      <c r="B1965" s="195">
        <v>9</v>
      </c>
      <c r="C1965" s="195" t="s">
        <v>2472</v>
      </c>
      <c r="D1965" s="195">
        <v>5815</v>
      </c>
      <c r="E1965" s="195" t="s">
        <v>373</v>
      </c>
      <c r="F1965" s="71" t="s">
        <v>2451</v>
      </c>
      <c r="G1965" s="71" t="s">
        <v>2453</v>
      </c>
      <c r="H1965" s="71" t="s">
        <v>2469</v>
      </c>
      <c r="I1965" s="71" t="s">
        <v>2460</v>
      </c>
    </row>
    <row r="1966" spans="1:9" ht="43.5" x14ac:dyDescent="0.35">
      <c r="A1966" s="195">
        <v>14</v>
      </c>
      <c r="B1966" s="195">
        <v>10</v>
      </c>
      <c r="C1966" s="195" t="s">
        <v>2474</v>
      </c>
      <c r="D1966" s="64">
        <v>605</v>
      </c>
      <c r="E1966" s="195" t="s">
        <v>373</v>
      </c>
      <c r="F1966" s="71" t="s">
        <v>2448</v>
      </c>
      <c r="G1966" s="71" t="s">
        <v>2453</v>
      </c>
      <c r="H1966" s="71" t="s">
        <v>2471</v>
      </c>
      <c r="I1966" s="71" t="s">
        <v>2463</v>
      </c>
    </row>
    <row r="1967" spans="1:9" ht="43.5" x14ac:dyDescent="0.35">
      <c r="A1967" s="195">
        <v>14</v>
      </c>
      <c r="B1967" s="195">
        <v>10</v>
      </c>
      <c r="C1967" s="195" t="s">
        <v>2475</v>
      </c>
      <c r="D1967" s="64">
        <v>5470</v>
      </c>
      <c r="E1967" s="195" t="s">
        <v>373</v>
      </c>
      <c r="F1967" s="71" t="s">
        <v>2451</v>
      </c>
      <c r="G1967" s="71" t="s">
        <v>2453</v>
      </c>
      <c r="H1967" s="71" t="s">
        <v>2469</v>
      </c>
      <c r="I1967" s="71" t="s">
        <v>2463</v>
      </c>
    </row>
    <row r="1968" spans="1:9" ht="43.5" x14ac:dyDescent="0.35">
      <c r="A1968" s="195">
        <v>14</v>
      </c>
      <c r="B1968" s="195">
        <v>11</v>
      </c>
      <c r="C1968" s="195" t="s">
        <v>2476</v>
      </c>
      <c r="D1968" s="64">
        <v>970</v>
      </c>
      <c r="E1968" s="195" t="s">
        <v>373</v>
      </c>
      <c r="F1968" s="71" t="s">
        <v>2448</v>
      </c>
      <c r="G1968" s="71" t="s">
        <v>2453</v>
      </c>
      <c r="H1968" s="71" t="s">
        <v>2471</v>
      </c>
      <c r="I1968" s="71" t="s">
        <v>2466</v>
      </c>
    </row>
    <row r="1969" spans="1:9" ht="43.5" x14ac:dyDescent="0.35">
      <c r="A1969" s="195">
        <v>14</v>
      </c>
      <c r="B1969" s="195">
        <v>11</v>
      </c>
      <c r="C1969" s="195" t="s">
        <v>2477</v>
      </c>
      <c r="D1969" s="64">
        <v>3125</v>
      </c>
      <c r="E1969" s="195" t="s">
        <v>373</v>
      </c>
      <c r="F1969" s="71" t="s">
        <v>2451</v>
      </c>
      <c r="G1969" s="71" t="s">
        <v>2453</v>
      </c>
      <c r="H1969" s="71" t="s">
        <v>2469</v>
      </c>
      <c r="I1969" s="71" t="s">
        <v>2466</v>
      </c>
    </row>
    <row r="1970" spans="1:9" ht="43.5" x14ac:dyDescent="0.35">
      <c r="A1970" s="195">
        <v>14</v>
      </c>
      <c r="B1970" s="195">
        <v>12</v>
      </c>
      <c r="C1970" s="195" t="s">
        <v>2480</v>
      </c>
      <c r="D1970" s="64">
        <v>1050</v>
      </c>
      <c r="E1970" s="195" t="s">
        <v>366</v>
      </c>
      <c r="F1970" s="71" t="s">
        <v>2448</v>
      </c>
      <c r="G1970" s="71" t="s">
        <v>2453</v>
      </c>
      <c r="H1970" s="71" t="s">
        <v>2481</v>
      </c>
      <c r="I1970" s="71" t="s">
        <v>2443</v>
      </c>
    </row>
    <row r="1971" spans="1:9" ht="43.5" x14ac:dyDescent="0.35">
      <c r="A1971" s="195">
        <v>14</v>
      </c>
      <c r="B1971" s="195">
        <v>12</v>
      </c>
      <c r="C1971" s="195" t="s">
        <v>2478</v>
      </c>
      <c r="D1971" s="64">
        <v>10025</v>
      </c>
      <c r="E1971" s="195" t="s">
        <v>366</v>
      </c>
      <c r="F1971" s="71" t="s">
        <v>2451</v>
      </c>
      <c r="G1971" s="71" t="s">
        <v>2453</v>
      </c>
      <c r="H1971" s="71" t="s">
        <v>2479</v>
      </c>
      <c r="I1971" s="71" t="s">
        <v>2443</v>
      </c>
    </row>
    <row r="1972" spans="1:9" ht="43.5" x14ac:dyDescent="0.35">
      <c r="A1972" s="195">
        <v>14</v>
      </c>
      <c r="B1972" s="195">
        <v>13</v>
      </c>
      <c r="C1972" s="195" t="s">
        <v>2482</v>
      </c>
      <c r="D1972" s="195">
        <v>140</v>
      </c>
      <c r="E1972" s="195" t="s">
        <v>373</v>
      </c>
      <c r="F1972" s="71" t="s">
        <v>2448</v>
      </c>
      <c r="G1972" s="71" t="s">
        <v>2453</v>
      </c>
      <c r="H1972" s="71" t="s">
        <v>2481</v>
      </c>
      <c r="I1972" s="71" t="s">
        <v>2460</v>
      </c>
    </row>
    <row r="1973" spans="1:9" ht="43.5" x14ac:dyDescent="0.35">
      <c r="A1973" s="195">
        <v>14</v>
      </c>
      <c r="B1973" s="195">
        <v>13</v>
      </c>
      <c r="C1973" s="195" t="s">
        <v>2483</v>
      </c>
      <c r="D1973" s="64">
        <v>4945</v>
      </c>
      <c r="E1973" s="195" t="s">
        <v>373</v>
      </c>
      <c r="F1973" s="71" t="s">
        <v>2451</v>
      </c>
      <c r="G1973" s="71" t="s">
        <v>2453</v>
      </c>
      <c r="H1973" s="71" t="s">
        <v>2479</v>
      </c>
      <c r="I1973" s="71" t="s">
        <v>2460</v>
      </c>
    </row>
    <row r="1974" spans="1:9" ht="43.5" x14ac:dyDescent="0.35">
      <c r="A1974" s="195">
        <v>14</v>
      </c>
      <c r="B1974" s="195">
        <v>14</v>
      </c>
      <c r="C1974" s="195" t="s">
        <v>2485</v>
      </c>
      <c r="D1974" s="64">
        <v>455</v>
      </c>
      <c r="E1974" s="195" t="s">
        <v>373</v>
      </c>
      <c r="F1974" s="71" t="s">
        <v>2448</v>
      </c>
      <c r="G1974" s="71" t="s">
        <v>2453</v>
      </c>
      <c r="H1974" s="71" t="s">
        <v>2481</v>
      </c>
      <c r="I1974" s="71" t="s">
        <v>2463</v>
      </c>
    </row>
    <row r="1975" spans="1:9" ht="43.5" x14ac:dyDescent="0.35">
      <c r="A1975" s="195">
        <v>14</v>
      </c>
      <c r="B1975" s="195">
        <v>14</v>
      </c>
      <c r="C1975" s="195" t="s">
        <v>2484</v>
      </c>
      <c r="D1975" s="195">
        <v>3150</v>
      </c>
      <c r="E1975" s="195" t="s">
        <v>373</v>
      </c>
      <c r="F1975" s="71" t="s">
        <v>2451</v>
      </c>
      <c r="G1975" s="71" t="s">
        <v>2453</v>
      </c>
      <c r="H1975" s="71" t="s">
        <v>2479</v>
      </c>
      <c r="I1975" s="71" t="s">
        <v>2463</v>
      </c>
    </row>
    <row r="1976" spans="1:9" ht="43.5" x14ac:dyDescent="0.35">
      <c r="A1976" s="195">
        <v>14</v>
      </c>
      <c r="B1976" s="195">
        <v>15</v>
      </c>
      <c r="C1976" s="195" t="s">
        <v>2486</v>
      </c>
      <c r="D1976" s="64">
        <v>455</v>
      </c>
      <c r="E1976" s="195" t="s">
        <v>373</v>
      </c>
      <c r="F1976" s="71" t="s">
        <v>2448</v>
      </c>
      <c r="G1976" s="71" t="s">
        <v>2453</v>
      </c>
      <c r="H1976" s="71" t="s">
        <v>2481</v>
      </c>
      <c r="I1976" s="71" t="s">
        <v>2466</v>
      </c>
    </row>
    <row r="1977" spans="1:9" ht="43.5" x14ac:dyDescent="0.35">
      <c r="A1977" s="195">
        <v>14</v>
      </c>
      <c r="B1977" s="195">
        <v>15</v>
      </c>
      <c r="C1977" s="195" t="s">
        <v>2487</v>
      </c>
      <c r="D1977" s="64">
        <v>1930</v>
      </c>
      <c r="E1977" s="195" t="s">
        <v>373</v>
      </c>
      <c r="F1977" s="71" t="s">
        <v>2451</v>
      </c>
      <c r="G1977" s="71" t="s">
        <v>2453</v>
      </c>
      <c r="H1977" s="71" t="s">
        <v>2479</v>
      </c>
      <c r="I1977" s="71" t="s">
        <v>2466</v>
      </c>
    </row>
    <row r="1978" spans="1:9" ht="43.5" x14ac:dyDescent="0.35">
      <c r="A1978" s="195">
        <v>14</v>
      </c>
      <c r="B1978" s="195">
        <v>16</v>
      </c>
      <c r="C1978" s="195" t="s">
        <v>2488</v>
      </c>
      <c r="D1978" s="64">
        <v>2935</v>
      </c>
      <c r="E1978" s="195" t="s">
        <v>366</v>
      </c>
      <c r="F1978" s="71" t="s">
        <v>2448</v>
      </c>
      <c r="G1978" s="71" t="s">
        <v>2453</v>
      </c>
      <c r="H1978" s="71" t="s">
        <v>2489</v>
      </c>
      <c r="I1978" s="71" t="s">
        <v>2443</v>
      </c>
    </row>
    <row r="1979" spans="1:9" ht="43.5" x14ac:dyDescent="0.35">
      <c r="A1979" s="195">
        <v>14</v>
      </c>
      <c r="B1979" s="195">
        <v>16</v>
      </c>
      <c r="C1979" s="195" t="s">
        <v>2490</v>
      </c>
      <c r="D1979" s="64">
        <v>5905</v>
      </c>
      <c r="E1979" s="195" t="s">
        <v>366</v>
      </c>
      <c r="F1979" s="71" t="s">
        <v>2451</v>
      </c>
      <c r="G1979" s="71" t="s">
        <v>2453</v>
      </c>
      <c r="H1979" s="71" t="s">
        <v>2491</v>
      </c>
      <c r="I1979" s="71" t="s">
        <v>2443</v>
      </c>
    </row>
    <row r="1980" spans="1:9" ht="43.5" x14ac:dyDescent="0.35">
      <c r="A1980" s="195">
        <v>14</v>
      </c>
      <c r="B1980" s="195">
        <v>17</v>
      </c>
      <c r="C1980" s="195" t="s">
        <v>2492</v>
      </c>
      <c r="D1980" s="195">
        <v>510</v>
      </c>
      <c r="E1980" s="195" t="s">
        <v>373</v>
      </c>
      <c r="F1980" s="71" t="s">
        <v>2448</v>
      </c>
      <c r="G1980" s="71" t="s">
        <v>2453</v>
      </c>
      <c r="H1980" s="71" t="s">
        <v>2489</v>
      </c>
      <c r="I1980" s="71" t="s">
        <v>2460</v>
      </c>
    </row>
    <row r="1981" spans="1:9" ht="43.5" x14ac:dyDescent="0.35">
      <c r="A1981" s="195">
        <v>14</v>
      </c>
      <c r="B1981" s="195">
        <v>17</v>
      </c>
      <c r="C1981" s="195" t="s">
        <v>2493</v>
      </c>
      <c r="D1981" s="64">
        <v>3075</v>
      </c>
      <c r="E1981" s="195" t="s">
        <v>373</v>
      </c>
      <c r="F1981" s="71" t="s">
        <v>2451</v>
      </c>
      <c r="G1981" s="71" t="s">
        <v>2453</v>
      </c>
      <c r="H1981" s="71" t="s">
        <v>2491</v>
      </c>
      <c r="I1981" s="71" t="s">
        <v>2460</v>
      </c>
    </row>
    <row r="1982" spans="1:9" ht="43.5" x14ac:dyDescent="0.35">
      <c r="A1982" s="195">
        <v>14</v>
      </c>
      <c r="B1982" s="195">
        <v>18</v>
      </c>
      <c r="C1982" s="195" t="s">
        <v>2494</v>
      </c>
      <c r="D1982" s="64">
        <v>1035</v>
      </c>
      <c r="E1982" s="195" t="s">
        <v>373</v>
      </c>
      <c r="F1982" s="71" t="s">
        <v>2448</v>
      </c>
      <c r="G1982" s="71" t="s">
        <v>2453</v>
      </c>
      <c r="H1982" s="71" t="s">
        <v>2489</v>
      </c>
      <c r="I1982" s="71" t="s">
        <v>2463</v>
      </c>
    </row>
    <row r="1983" spans="1:9" ht="43.5" x14ac:dyDescent="0.35">
      <c r="A1983" s="195">
        <v>14</v>
      </c>
      <c r="B1983" s="195">
        <v>18</v>
      </c>
      <c r="C1983" s="195" t="s">
        <v>2495</v>
      </c>
      <c r="D1983" s="64">
        <v>2215</v>
      </c>
      <c r="E1983" s="195" t="s">
        <v>373</v>
      </c>
      <c r="F1983" s="71" t="s">
        <v>2451</v>
      </c>
      <c r="G1983" s="71" t="s">
        <v>2453</v>
      </c>
      <c r="H1983" s="71" t="s">
        <v>2491</v>
      </c>
      <c r="I1983" s="71" t="s">
        <v>2463</v>
      </c>
    </row>
    <row r="1984" spans="1:9" ht="43.5" x14ac:dyDescent="0.35">
      <c r="A1984" s="195">
        <v>14</v>
      </c>
      <c r="B1984" s="195">
        <v>19</v>
      </c>
      <c r="C1984" s="195" t="s">
        <v>2496</v>
      </c>
      <c r="D1984" s="64">
        <v>1385</v>
      </c>
      <c r="E1984" s="195" t="s">
        <v>373</v>
      </c>
      <c r="F1984" s="71" t="s">
        <v>2448</v>
      </c>
      <c r="G1984" s="71" t="s">
        <v>2453</v>
      </c>
      <c r="H1984" s="71" t="s">
        <v>2489</v>
      </c>
      <c r="I1984" s="71" t="s">
        <v>2466</v>
      </c>
    </row>
    <row r="1985" spans="1:10" ht="43.5" x14ac:dyDescent="0.35">
      <c r="A1985" s="195">
        <v>14</v>
      </c>
      <c r="B1985" s="195">
        <v>19</v>
      </c>
      <c r="C1985" s="195" t="s">
        <v>2497</v>
      </c>
      <c r="D1985" s="64">
        <v>620</v>
      </c>
      <c r="E1985" s="195" t="s">
        <v>373</v>
      </c>
      <c r="F1985" s="71" t="s">
        <v>2451</v>
      </c>
      <c r="G1985" s="71" t="s">
        <v>2453</v>
      </c>
      <c r="H1985" s="71" t="s">
        <v>2491</v>
      </c>
      <c r="I1985" s="71" t="s">
        <v>2466</v>
      </c>
    </row>
    <row r="1986" spans="1:10" ht="29" x14ac:dyDescent="0.35">
      <c r="A1986" s="195">
        <v>15</v>
      </c>
      <c r="B1986" s="195">
        <v>1</v>
      </c>
      <c r="C1986" s="195" t="s">
        <v>2500</v>
      </c>
      <c r="D1986" s="64">
        <v>319140</v>
      </c>
      <c r="E1986" s="195" t="s">
        <v>26</v>
      </c>
      <c r="F1986" s="71" t="s">
        <v>2501</v>
      </c>
      <c r="G1986" s="71" t="s">
        <v>1653</v>
      </c>
      <c r="H1986" s="71" t="s">
        <v>2502</v>
      </c>
      <c r="I1986" s="71" t="s">
        <v>363</v>
      </c>
      <c r="J1986" s="71" t="s">
        <v>2443</v>
      </c>
    </row>
    <row r="1987" spans="1:10" ht="29" x14ac:dyDescent="0.35">
      <c r="A1987" s="195">
        <v>15</v>
      </c>
      <c r="B1987" s="195">
        <v>1</v>
      </c>
      <c r="C1987" s="195" t="s">
        <v>2503</v>
      </c>
      <c r="D1987" s="64">
        <v>140745</v>
      </c>
      <c r="E1987" s="195" t="s">
        <v>26</v>
      </c>
      <c r="F1987" s="71" t="s">
        <v>2504</v>
      </c>
      <c r="G1987" s="71" t="s">
        <v>1653</v>
      </c>
      <c r="H1987" s="71" t="s">
        <v>2502</v>
      </c>
      <c r="I1987" s="71" t="s">
        <v>363</v>
      </c>
      <c r="J1987" s="71" t="s">
        <v>2443</v>
      </c>
    </row>
    <row r="1988" spans="1:10" ht="29" x14ac:dyDescent="0.35">
      <c r="A1988" s="195">
        <v>15</v>
      </c>
      <c r="B1988" s="195">
        <v>1</v>
      </c>
      <c r="C1988" s="195" t="s">
        <v>2498</v>
      </c>
      <c r="D1988" s="64">
        <v>582690</v>
      </c>
      <c r="E1988" s="195" t="s">
        <v>26</v>
      </c>
      <c r="F1988" s="71" t="s">
        <v>2499</v>
      </c>
      <c r="G1988" s="71" t="s">
        <v>1653</v>
      </c>
      <c r="H1988" s="71" t="s">
        <v>2446</v>
      </c>
      <c r="I1988" s="71" t="s">
        <v>363</v>
      </c>
      <c r="J1988" s="71" t="s">
        <v>2443</v>
      </c>
    </row>
    <row r="1989" spans="1:10" ht="29" x14ac:dyDescent="0.35">
      <c r="A1989" s="195">
        <v>15</v>
      </c>
      <c r="B1989" s="195">
        <v>2</v>
      </c>
      <c r="C1989" s="195" t="s">
        <v>2507</v>
      </c>
      <c r="D1989" s="64">
        <v>1360</v>
      </c>
      <c r="E1989" s="195" t="s">
        <v>373</v>
      </c>
      <c r="F1989" s="71" t="s">
        <v>2508</v>
      </c>
      <c r="G1989" s="71" t="s">
        <v>2506</v>
      </c>
      <c r="H1989" s="71" t="s">
        <v>2502</v>
      </c>
      <c r="I1989" s="71" t="s">
        <v>363</v>
      </c>
      <c r="J1989" s="71" t="s">
        <v>2443</v>
      </c>
    </row>
    <row r="1990" spans="1:10" ht="29" x14ac:dyDescent="0.35">
      <c r="A1990" s="195">
        <v>15</v>
      </c>
      <c r="B1990" s="195">
        <v>2</v>
      </c>
      <c r="C1990" s="195" t="s">
        <v>2509</v>
      </c>
      <c r="D1990" s="64">
        <v>960</v>
      </c>
      <c r="E1990" s="195" t="s">
        <v>373</v>
      </c>
      <c r="F1990" s="71" t="s">
        <v>2510</v>
      </c>
      <c r="G1990" s="71" t="s">
        <v>2506</v>
      </c>
      <c r="H1990" s="71" t="s">
        <v>2502</v>
      </c>
      <c r="I1990" s="71" t="s">
        <v>363</v>
      </c>
      <c r="J1990" s="71" t="s">
        <v>2443</v>
      </c>
    </row>
    <row r="1991" spans="1:10" ht="29" x14ac:dyDescent="0.35">
      <c r="A1991" s="195">
        <v>15</v>
      </c>
      <c r="B1991" s="195">
        <v>2</v>
      </c>
      <c r="C1991" s="195" t="s">
        <v>2505</v>
      </c>
      <c r="D1991" s="64">
        <v>8010</v>
      </c>
      <c r="E1991" s="195" t="s">
        <v>373</v>
      </c>
      <c r="F1991" s="71" t="s">
        <v>508</v>
      </c>
      <c r="G1991" s="71" t="s">
        <v>2506</v>
      </c>
      <c r="H1991" s="71" t="s">
        <v>2446</v>
      </c>
      <c r="I1991" s="71" t="s">
        <v>363</v>
      </c>
      <c r="J1991" s="71" t="s">
        <v>2443</v>
      </c>
    </row>
    <row r="1992" spans="1:10" ht="29" x14ac:dyDescent="0.35">
      <c r="A1992" s="195">
        <v>15</v>
      </c>
      <c r="B1992" s="195">
        <v>3</v>
      </c>
      <c r="C1992" s="195" t="s">
        <v>2511</v>
      </c>
      <c r="D1992" s="64">
        <v>317780</v>
      </c>
      <c r="E1992" s="195" t="s">
        <v>366</v>
      </c>
      <c r="F1992" s="71" t="s">
        <v>2508</v>
      </c>
      <c r="G1992" s="71" t="s">
        <v>2512</v>
      </c>
      <c r="H1992" s="71" t="s">
        <v>2502</v>
      </c>
      <c r="I1992" s="71" t="s">
        <v>363</v>
      </c>
      <c r="J1992" s="71" t="s">
        <v>2443</v>
      </c>
    </row>
    <row r="1993" spans="1:10" ht="29" x14ac:dyDescent="0.35">
      <c r="A1993" s="195">
        <v>15</v>
      </c>
      <c r="B1993" s="195">
        <v>3</v>
      </c>
      <c r="C1993" s="195" t="s">
        <v>2513</v>
      </c>
      <c r="D1993" s="64">
        <v>139790</v>
      </c>
      <c r="E1993" s="195" t="s">
        <v>366</v>
      </c>
      <c r="F1993" s="71" t="s">
        <v>2510</v>
      </c>
      <c r="G1993" s="71" t="s">
        <v>2512</v>
      </c>
      <c r="H1993" s="71" t="s">
        <v>2502</v>
      </c>
      <c r="I1993" s="71" t="s">
        <v>363</v>
      </c>
      <c r="J1993" s="71" t="s">
        <v>2443</v>
      </c>
    </row>
    <row r="1994" spans="1:10" ht="29" x14ac:dyDescent="0.35">
      <c r="A1994" s="195">
        <v>15</v>
      </c>
      <c r="B1994" s="195">
        <v>3</v>
      </c>
      <c r="C1994" s="195" t="s">
        <v>2514</v>
      </c>
      <c r="D1994" s="64">
        <v>574680</v>
      </c>
      <c r="E1994" s="195" t="s">
        <v>366</v>
      </c>
      <c r="F1994" s="71" t="s">
        <v>508</v>
      </c>
      <c r="G1994" s="71" t="s">
        <v>2512</v>
      </c>
      <c r="H1994" s="71" t="s">
        <v>2446</v>
      </c>
      <c r="I1994" s="71" t="s">
        <v>363</v>
      </c>
      <c r="J1994" s="71" t="s">
        <v>2443</v>
      </c>
    </row>
    <row r="1995" spans="1:10" ht="29" x14ac:dyDescent="0.35">
      <c r="A1995" s="195">
        <v>15</v>
      </c>
      <c r="B1995" s="195">
        <v>4</v>
      </c>
      <c r="C1995" s="195" t="s">
        <v>2516</v>
      </c>
      <c r="D1995" s="64">
        <v>78695</v>
      </c>
      <c r="E1995" s="195" t="s">
        <v>366</v>
      </c>
      <c r="F1995" s="71" t="s">
        <v>2508</v>
      </c>
      <c r="G1995" s="71" t="s">
        <v>2512</v>
      </c>
      <c r="H1995" s="71" t="s">
        <v>2517</v>
      </c>
      <c r="I1995" s="71" t="s">
        <v>363</v>
      </c>
      <c r="J1995" s="71" t="s">
        <v>2443</v>
      </c>
    </row>
    <row r="1996" spans="1:10" ht="29" x14ac:dyDescent="0.35">
      <c r="A1996" s="195">
        <v>15</v>
      </c>
      <c r="B1996" s="195">
        <v>4</v>
      </c>
      <c r="C1996" s="195" t="s">
        <v>2518</v>
      </c>
      <c r="D1996" s="64">
        <v>45020</v>
      </c>
      <c r="E1996" s="195" t="s">
        <v>366</v>
      </c>
      <c r="F1996" s="71" t="s">
        <v>2510</v>
      </c>
      <c r="G1996" s="71" t="s">
        <v>2512</v>
      </c>
      <c r="H1996" s="71" t="s">
        <v>2517</v>
      </c>
      <c r="I1996" s="71" t="s">
        <v>363</v>
      </c>
      <c r="J1996" s="71" t="s">
        <v>2443</v>
      </c>
    </row>
    <row r="1997" spans="1:10" ht="29" x14ac:dyDescent="0.35">
      <c r="A1997" s="195">
        <v>15</v>
      </c>
      <c r="B1997" s="195">
        <v>4</v>
      </c>
      <c r="C1997" s="195" t="s">
        <v>2515</v>
      </c>
      <c r="D1997" s="64">
        <v>79475</v>
      </c>
      <c r="E1997" s="195" t="s">
        <v>366</v>
      </c>
      <c r="F1997" s="71" t="s">
        <v>508</v>
      </c>
      <c r="G1997" s="71" t="s">
        <v>2512</v>
      </c>
      <c r="H1997" s="71" t="s">
        <v>2456</v>
      </c>
      <c r="I1997" s="71" t="s">
        <v>363</v>
      </c>
      <c r="J1997" s="71" t="s">
        <v>2443</v>
      </c>
    </row>
    <row r="1998" spans="1:10" ht="43.5" x14ac:dyDescent="0.35">
      <c r="A1998" s="195">
        <v>15</v>
      </c>
      <c r="B1998" s="195">
        <v>5</v>
      </c>
      <c r="C1998" s="195" t="s">
        <v>2520</v>
      </c>
      <c r="D1998" s="64">
        <v>10640</v>
      </c>
      <c r="E1998" s="195" t="s">
        <v>366</v>
      </c>
      <c r="F1998" s="71" t="s">
        <v>2508</v>
      </c>
      <c r="G1998" s="71" t="s">
        <v>2512</v>
      </c>
      <c r="H1998" s="71" t="s">
        <v>2517</v>
      </c>
      <c r="I1998" s="71" t="s">
        <v>1377</v>
      </c>
      <c r="J1998" s="71" t="s">
        <v>2443</v>
      </c>
    </row>
    <row r="1999" spans="1:10" ht="43.5" x14ac:dyDescent="0.35">
      <c r="A1999" s="195">
        <v>15</v>
      </c>
      <c r="B1999" s="195">
        <v>5</v>
      </c>
      <c r="C1999" s="195" t="s">
        <v>2521</v>
      </c>
      <c r="D1999" s="64">
        <v>10675</v>
      </c>
      <c r="E1999" s="195" t="s">
        <v>366</v>
      </c>
      <c r="F1999" s="71" t="s">
        <v>2510</v>
      </c>
      <c r="G1999" s="71" t="s">
        <v>2512</v>
      </c>
      <c r="H1999" s="71" t="s">
        <v>2517</v>
      </c>
      <c r="I1999" s="71" t="s">
        <v>1377</v>
      </c>
      <c r="J1999" s="71" t="s">
        <v>2443</v>
      </c>
    </row>
    <row r="2000" spans="1:10" ht="29" x14ac:dyDescent="0.35">
      <c r="A2000" s="195">
        <v>15</v>
      </c>
      <c r="B2000" s="195">
        <v>5</v>
      </c>
      <c r="C2000" s="195" t="s">
        <v>2519</v>
      </c>
      <c r="D2000" s="64">
        <v>54665</v>
      </c>
      <c r="E2000" s="195" t="s">
        <v>366</v>
      </c>
      <c r="F2000" s="71" t="s">
        <v>508</v>
      </c>
      <c r="G2000" s="71" t="s">
        <v>2512</v>
      </c>
      <c r="H2000" s="71" t="s">
        <v>2456</v>
      </c>
      <c r="I2000" s="71" t="s">
        <v>371</v>
      </c>
      <c r="J2000" s="71" t="s">
        <v>2443</v>
      </c>
    </row>
    <row r="2001" spans="1:10" ht="43.5" x14ac:dyDescent="0.35">
      <c r="A2001" s="195">
        <v>15</v>
      </c>
      <c r="B2001" s="195">
        <v>6</v>
      </c>
      <c r="C2001" s="195" t="s">
        <v>2522</v>
      </c>
      <c r="D2001" s="64">
        <v>650</v>
      </c>
      <c r="E2001" s="195" t="s">
        <v>373</v>
      </c>
      <c r="F2001" s="71" t="s">
        <v>2508</v>
      </c>
      <c r="G2001" s="71" t="s">
        <v>2512</v>
      </c>
      <c r="H2001" s="71" t="s">
        <v>2517</v>
      </c>
      <c r="I2001" s="71" t="s">
        <v>1377</v>
      </c>
      <c r="J2001" s="71" t="s">
        <v>2460</v>
      </c>
    </row>
    <row r="2002" spans="1:10" ht="43.5" x14ac:dyDescent="0.35">
      <c r="A2002" s="195">
        <v>15</v>
      </c>
      <c r="B2002" s="195">
        <v>6</v>
      </c>
      <c r="C2002" s="195" t="s">
        <v>2523</v>
      </c>
      <c r="D2002" s="64">
        <v>990</v>
      </c>
      <c r="E2002" s="195" t="s">
        <v>373</v>
      </c>
      <c r="F2002" s="71" t="s">
        <v>2510</v>
      </c>
      <c r="G2002" s="71" t="s">
        <v>2512</v>
      </c>
      <c r="H2002" s="71" t="s">
        <v>2517</v>
      </c>
      <c r="I2002" s="71" t="s">
        <v>1377</v>
      </c>
      <c r="J2002" s="71" t="s">
        <v>2460</v>
      </c>
    </row>
    <row r="2003" spans="1:10" ht="29" x14ac:dyDescent="0.35">
      <c r="A2003" s="195">
        <v>15</v>
      </c>
      <c r="B2003" s="195">
        <v>6</v>
      </c>
      <c r="C2003" s="195" t="s">
        <v>2524</v>
      </c>
      <c r="D2003" s="64">
        <v>28100</v>
      </c>
      <c r="E2003" s="195" t="s">
        <v>373</v>
      </c>
      <c r="F2003" s="71" t="s">
        <v>508</v>
      </c>
      <c r="G2003" s="71" t="s">
        <v>2512</v>
      </c>
      <c r="H2003" s="71" t="s">
        <v>2456</v>
      </c>
      <c r="I2003" s="71" t="s">
        <v>371</v>
      </c>
      <c r="J2003" s="71" t="s">
        <v>2460</v>
      </c>
    </row>
    <row r="2004" spans="1:10" ht="43.5" x14ac:dyDescent="0.35">
      <c r="A2004" s="195">
        <v>15</v>
      </c>
      <c r="B2004" s="195">
        <v>7</v>
      </c>
      <c r="C2004" s="195" t="s">
        <v>2525</v>
      </c>
      <c r="D2004" s="64">
        <v>3290</v>
      </c>
      <c r="E2004" s="195" t="s">
        <v>373</v>
      </c>
      <c r="F2004" s="71" t="s">
        <v>2508</v>
      </c>
      <c r="G2004" s="71" t="s">
        <v>2512</v>
      </c>
      <c r="H2004" s="71" t="s">
        <v>2517</v>
      </c>
      <c r="I2004" s="71" t="s">
        <v>1377</v>
      </c>
      <c r="J2004" s="71" t="s">
        <v>2463</v>
      </c>
    </row>
    <row r="2005" spans="1:10" ht="43.5" x14ac:dyDescent="0.35">
      <c r="A2005" s="195">
        <v>15</v>
      </c>
      <c r="B2005" s="195">
        <v>7</v>
      </c>
      <c r="C2005" s="195" t="s">
        <v>2527</v>
      </c>
      <c r="D2005" s="64">
        <v>3205</v>
      </c>
      <c r="E2005" s="195" t="s">
        <v>373</v>
      </c>
      <c r="F2005" s="71" t="s">
        <v>2510</v>
      </c>
      <c r="G2005" s="71" t="s">
        <v>2512</v>
      </c>
      <c r="H2005" s="71" t="s">
        <v>2517</v>
      </c>
      <c r="I2005" s="71" t="s">
        <v>1377</v>
      </c>
      <c r="J2005" s="71" t="s">
        <v>2463</v>
      </c>
    </row>
    <row r="2006" spans="1:10" ht="29" x14ac:dyDescent="0.35">
      <c r="A2006" s="195">
        <v>15</v>
      </c>
      <c r="B2006" s="195">
        <v>7</v>
      </c>
      <c r="C2006" s="195" t="s">
        <v>2526</v>
      </c>
      <c r="D2006" s="64">
        <v>14060</v>
      </c>
      <c r="E2006" s="195" t="s">
        <v>373</v>
      </c>
      <c r="F2006" s="71" t="s">
        <v>508</v>
      </c>
      <c r="G2006" s="71" t="s">
        <v>2512</v>
      </c>
      <c r="H2006" s="71" t="s">
        <v>2456</v>
      </c>
      <c r="I2006" s="71" t="s">
        <v>371</v>
      </c>
      <c r="J2006" s="71" t="s">
        <v>2463</v>
      </c>
    </row>
    <row r="2007" spans="1:10" ht="43.5" x14ac:dyDescent="0.35">
      <c r="A2007" s="195">
        <v>15</v>
      </c>
      <c r="B2007" s="195">
        <v>8</v>
      </c>
      <c r="C2007" s="195" t="s">
        <v>2528</v>
      </c>
      <c r="D2007" s="64">
        <v>6705</v>
      </c>
      <c r="E2007" s="195" t="s">
        <v>373</v>
      </c>
      <c r="F2007" s="71" t="s">
        <v>2508</v>
      </c>
      <c r="G2007" s="71" t="s">
        <v>2512</v>
      </c>
      <c r="H2007" s="71" t="s">
        <v>2517</v>
      </c>
      <c r="I2007" s="71" t="s">
        <v>1377</v>
      </c>
      <c r="J2007" s="71" t="s">
        <v>2466</v>
      </c>
    </row>
    <row r="2008" spans="1:10" ht="43.5" x14ac:dyDescent="0.35">
      <c r="A2008" s="195">
        <v>15</v>
      </c>
      <c r="B2008" s="195">
        <v>8</v>
      </c>
      <c r="C2008" s="195" t="s">
        <v>2529</v>
      </c>
      <c r="D2008" s="64">
        <v>6480</v>
      </c>
      <c r="E2008" s="195" t="s">
        <v>373</v>
      </c>
      <c r="F2008" s="71" t="s">
        <v>2510</v>
      </c>
      <c r="G2008" s="71" t="s">
        <v>2512</v>
      </c>
      <c r="H2008" s="71" t="s">
        <v>2517</v>
      </c>
      <c r="I2008" s="71" t="s">
        <v>1377</v>
      </c>
      <c r="J2008" s="71" t="s">
        <v>2466</v>
      </c>
    </row>
    <row r="2009" spans="1:10" ht="29" x14ac:dyDescent="0.35">
      <c r="A2009" s="195">
        <v>15</v>
      </c>
      <c r="B2009" s="195">
        <v>8</v>
      </c>
      <c r="C2009" s="195" t="s">
        <v>2530</v>
      </c>
      <c r="D2009" s="64">
        <v>12505</v>
      </c>
      <c r="E2009" s="195" t="s">
        <v>373</v>
      </c>
      <c r="F2009" s="71" t="s">
        <v>508</v>
      </c>
      <c r="G2009" s="71" t="s">
        <v>2512</v>
      </c>
      <c r="H2009" s="71" t="s">
        <v>2456</v>
      </c>
      <c r="I2009" s="71" t="s">
        <v>371</v>
      </c>
      <c r="J2009" s="71" t="s">
        <v>2466</v>
      </c>
    </row>
    <row r="2010" spans="1:10" ht="43.5" x14ac:dyDescent="0.35">
      <c r="A2010" s="195">
        <v>15</v>
      </c>
      <c r="B2010" s="195">
        <v>9</v>
      </c>
      <c r="C2010" s="195" t="s">
        <v>2533</v>
      </c>
      <c r="D2010" s="64">
        <v>12200</v>
      </c>
      <c r="E2010" s="195" t="s">
        <v>366</v>
      </c>
      <c r="F2010" s="71" t="s">
        <v>2508</v>
      </c>
      <c r="G2010" s="71" t="s">
        <v>2512</v>
      </c>
      <c r="H2010" s="71" t="s">
        <v>2517</v>
      </c>
      <c r="I2010" s="71" t="s">
        <v>1413</v>
      </c>
      <c r="J2010" s="71" t="s">
        <v>2443</v>
      </c>
    </row>
    <row r="2011" spans="1:10" ht="43.5" x14ac:dyDescent="0.35">
      <c r="A2011" s="195">
        <v>15</v>
      </c>
      <c r="B2011" s="195">
        <v>9</v>
      </c>
      <c r="C2011" s="195" t="s">
        <v>2532</v>
      </c>
      <c r="D2011" s="64">
        <v>9445</v>
      </c>
      <c r="E2011" s="195" t="s">
        <v>366</v>
      </c>
      <c r="F2011" s="71" t="s">
        <v>2510</v>
      </c>
      <c r="G2011" s="71" t="s">
        <v>2512</v>
      </c>
      <c r="H2011" s="71" t="s">
        <v>2517</v>
      </c>
      <c r="I2011" s="71" t="s">
        <v>1413</v>
      </c>
      <c r="J2011" s="71" t="s">
        <v>2443</v>
      </c>
    </row>
    <row r="2012" spans="1:10" ht="43.5" x14ac:dyDescent="0.35">
      <c r="A2012" s="195">
        <v>15</v>
      </c>
      <c r="B2012" s="195">
        <v>9</v>
      </c>
      <c r="C2012" s="195" t="s">
        <v>2531</v>
      </c>
      <c r="D2012" s="64">
        <v>11600</v>
      </c>
      <c r="E2012" s="195" t="s">
        <v>366</v>
      </c>
      <c r="F2012" s="71" t="s">
        <v>508</v>
      </c>
      <c r="G2012" s="71" t="s">
        <v>2512</v>
      </c>
      <c r="H2012" s="71" t="s">
        <v>2456</v>
      </c>
      <c r="I2012" s="71" t="s">
        <v>388</v>
      </c>
      <c r="J2012" s="71" t="s">
        <v>2443</v>
      </c>
    </row>
    <row r="2013" spans="1:10" ht="43.5" x14ac:dyDescent="0.35">
      <c r="A2013" s="195">
        <v>15</v>
      </c>
      <c r="B2013" s="195">
        <v>10</v>
      </c>
      <c r="C2013" s="195" t="s">
        <v>2534</v>
      </c>
      <c r="D2013" s="64">
        <v>530</v>
      </c>
      <c r="E2013" s="195" t="s">
        <v>373</v>
      </c>
      <c r="F2013" s="71" t="s">
        <v>2508</v>
      </c>
      <c r="G2013" s="71" t="s">
        <v>2512</v>
      </c>
      <c r="H2013" s="71" t="s">
        <v>2517</v>
      </c>
      <c r="I2013" s="71" t="s">
        <v>1413</v>
      </c>
      <c r="J2013" s="71" t="s">
        <v>2460</v>
      </c>
    </row>
    <row r="2014" spans="1:10" ht="43.5" x14ac:dyDescent="0.35">
      <c r="A2014" s="195">
        <v>15</v>
      </c>
      <c r="B2014" s="195">
        <v>10</v>
      </c>
      <c r="C2014" s="195" t="s">
        <v>2535</v>
      </c>
      <c r="D2014" s="64">
        <v>630</v>
      </c>
      <c r="E2014" s="195" t="s">
        <v>373</v>
      </c>
      <c r="F2014" s="71" t="s">
        <v>2510</v>
      </c>
      <c r="G2014" s="71" t="s">
        <v>2512</v>
      </c>
      <c r="H2014" s="71" t="s">
        <v>2517</v>
      </c>
      <c r="I2014" s="71" t="s">
        <v>1413</v>
      </c>
      <c r="J2014" s="71" t="s">
        <v>2460</v>
      </c>
    </row>
    <row r="2015" spans="1:10" ht="43.5" x14ac:dyDescent="0.35">
      <c r="A2015" s="195">
        <v>15</v>
      </c>
      <c r="B2015" s="195">
        <v>10</v>
      </c>
      <c r="C2015" s="195" t="s">
        <v>2536</v>
      </c>
      <c r="D2015" s="64">
        <v>4230</v>
      </c>
      <c r="E2015" s="195" t="s">
        <v>373</v>
      </c>
      <c r="F2015" s="71" t="s">
        <v>508</v>
      </c>
      <c r="G2015" s="71" t="s">
        <v>2512</v>
      </c>
      <c r="H2015" s="71" t="s">
        <v>2456</v>
      </c>
      <c r="I2015" s="71" t="s">
        <v>388</v>
      </c>
      <c r="J2015" s="71" t="s">
        <v>2460</v>
      </c>
    </row>
    <row r="2016" spans="1:10" ht="43.5" x14ac:dyDescent="0.35">
      <c r="A2016" s="195">
        <v>15</v>
      </c>
      <c r="B2016" s="195">
        <v>11</v>
      </c>
      <c r="C2016" s="195" t="s">
        <v>2539</v>
      </c>
      <c r="D2016" s="64">
        <v>3030</v>
      </c>
      <c r="E2016" s="195" t="s">
        <v>373</v>
      </c>
      <c r="F2016" s="71" t="s">
        <v>2508</v>
      </c>
      <c r="G2016" s="71" t="s">
        <v>2512</v>
      </c>
      <c r="H2016" s="71" t="s">
        <v>2517</v>
      </c>
      <c r="I2016" s="71" t="s">
        <v>1413</v>
      </c>
      <c r="J2016" s="71" t="s">
        <v>2463</v>
      </c>
    </row>
    <row r="2017" spans="1:10" ht="43.5" x14ac:dyDescent="0.35">
      <c r="A2017" s="195">
        <v>15</v>
      </c>
      <c r="B2017" s="195">
        <v>11</v>
      </c>
      <c r="C2017" s="195" t="s">
        <v>2538</v>
      </c>
      <c r="D2017" s="64">
        <v>3060</v>
      </c>
      <c r="E2017" s="195" t="s">
        <v>373</v>
      </c>
      <c r="F2017" s="71" t="s">
        <v>2510</v>
      </c>
      <c r="G2017" s="71" t="s">
        <v>2512</v>
      </c>
      <c r="H2017" s="71" t="s">
        <v>2517</v>
      </c>
      <c r="I2017" s="71" t="s">
        <v>1413</v>
      </c>
      <c r="J2017" s="71" t="s">
        <v>2463</v>
      </c>
    </row>
    <row r="2018" spans="1:10" ht="43.5" x14ac:dyDescent="0.35">
      <c r="A2018" s="195">
        <v>15</v>
      </c>
      <c r="B2018" s="195">
        <v>11</v>
      </c>
      <c r="C2018" s="195" t="s">
        <v>2537</v>
      </c>
      <c r="D2018" s="64">
        <v>3830</v>
      </c>
      <c r="E2018" s="195" t="s">
        <v>373</v>
      </c>
      <c r="F2018" s="71" t="s">
        <v>508</v>
      </c>
      <c r="G2018" s="71" t="s">
        <v>2512</v>
      </c>
      <c r="H2018" s="71" t="s">
        <v>2456</v>
      </c>
      <c r="I2018" s="71" t="s">
        <v>388</v>
      </c>
      <c r="J2018" s="71" t="s">
        <v>2463</v>
      </c>
    </row>
    <row r="2019" spans="1:10" ht="43.5" x14ac:dyDescent="0.35">
      <c r="A2019" s="195">
        <v>15</v>
      </c>
      <c r="B2019" s="195">
        <v>12</v>
      </c>
      <c r="C2019" s="195" t="s">
        <v>2542</v>
      </c>
      <c r="D2019" s="64">
        <v>8640</v>
      </c>
      <c r="E2019" s="195" t="s">
        <v>373</v>
      </c>
      <c r="F2019" s="71" t="s">
        <v>2508</v>
      </c>
      <c r="G2019" s="71" t="s">
        <v>2512</v>
      </c>
      <c r="H2019" s="71" t="s">
        <v>2517</v>
      </c>
      <c r="I2019" s="71" t="s">
        <v>1413</v>
      </c>
      <c r="J2019" s="71" t="s">
        <v>2466</v>
      </c>
    </row>
    <row r="2020" spans="1:10" ht="43.5" x14ac:dyDescent="0.35">
      <c r="A2020" s="195">
        <v>15</v>
      </c>
      <c r="B2020" s="195">
        <v>12</v>
      </c>
      <c r="C2020" s="195" t="s">
        <v>2540</v>
      </c>
      <c r="D2020" s="64">
        <v>5755</v>
      </c>
      <c r="E2020" s="195" t="s">
        <v>373</v>
      </c>
      <c r="F2020" s="71" t="s">
        <v>2510</v>
      </c>
      <c r="G2020" s="71" t="s">
        <v>2512</v>
      </c>
      <c r="H2020" s="71" t="s">
        <v>2517</v>
      </c>
      <c r="I2020" s="71" t="s">
        <v>1413</v>
      </c>
      <c r="J2020" s="71" t="s">
        <v>2466</v>
      </c>
    </row>
    <row r="2021" spans="1:10" ht="43.5" x14ac:dyDescent="0.35">
      <c r="A2021" s="195">
        <v>15</v>
      </c>
      <c r="B2021" s="195">
        <v>12</v>
      </c>
      <c r="C2021" s="195" t="s">
        <v>2541</v>
      </c>
      <c r="D2021" s="64">
        <v>3540</v>
      </c>
      <c r="E2021" s="195" t="s">
        <v>373</v>
      </c>
      <c r="F2021" s="71" t="s">
        <v>508</v>
      </c>
      <c r="G2021" s="71" t="s">
        <v>2512</v>
      </c>
      <c r="H2021" s="71" t="s">
        <v>2456</v>
      </c>
      <c r="I2021" s="71" t="s">
        <v>388</v>
      </c>
      <c r="J2021" s="71" t="s">
        <v>2466</v>
      </c>
    </row>
    <row r="2022" spans="1:10" ht="43.5" x14ac:dyDescent="0.35">
      <c r="A2022" s="195">
        <v>15</v>
      </c>
      <c r="B2022" s="195">
        <v>13</v>
      </c>
      <c r="C2022" s="195" t="s">
        <v>2545</v>
      </c>
      <c r="D2022" s="64">
        <v>17730</v>
      </c>
      <c r="E2022" s="195" t="s">
        <v>366</v>
      </c>
      <c r="F2022" s="71" t="s">
        <v>2508</v>
      </c>
      <c r="G2022" s="71" t="s">
        <v>2512</v>
      </c>
      <c r="H2022" s="71" t="s">
        <v>2517</v>
      </c>
      <c r="I2022" s="71" t="s">
        <v>1440</v>
      </c>
      <c r="J2022" s="71" t="s">
        <v>2443</v>
      </c>
    </row>
    <row r="2023" spans="1:10" ht="43.5" x14ac:dyDescent="0.35">
      <c r="A2023" s="195">
        <v>15</v>
      </c>
      <c r="B2023" s="195">
        <v>13</v>
      </c>
      <c r="C2023" s="195" t="s">
        <v>2543</v>
      </c>
      <c r="D2023" s="64">
        <v>10055</v>
      </c>
      <c r="E2023" s="195" t="s">
        <v>366</v>
      </c>
      <c r="F2023" s="71" t="s">
        <v>2510</v>
      </c>
      <c r="G2023" s="71" t="s">
        <v>2512</v>
      </c>
      <c r="H2023" s="71" t="s">
        <v>2517</v>
      </c>
      <c r="I2023" s="71" t="s">
        <v>1440</v>
      </c>
      <c r="J2023" s="71" t="s">
        <v>2443</v>
      </c>
    </row>
    <row r="2024" spans="1:10" ht="43.5" x14ac:dyDescent="0.35">
      <c r="A2024" s="195">
        <v>15</v>
      </c>
      <c r="B2024" s="195">
        <v>13</v>
      </c>
      <c r="C2024" s="195" t="s">
        <v>2544</v>
      </c>
      <c r="D2024" s="64">
        <v>6105</v>
      </c>
      <c r="E2024" s="195" t="s">
        <v>366</v>
      </c>
      <c r="F2024" s="71" t="s">
        <v>508</v>
      </c>
      <c r="G2024" s="71" t="s">
        <v>2512</v>
      </c>
      <c r="H2024" s="71" t="s">
        <v>2456</v>
      </c>
      <c r="I2024" s="71" t="s">
        <v>397</v>
      </c>
      <c r="J2024" s="71" t="s">
        <v>2443</v>
      </c>
    </row>
    <row r="2025" spans="1:10" ht="43.5" x14ac:dyDescent="0.35">
      <c r="A2025" s="195">
        <v>15</v>
      </c>
      <c r="B2025" s="195">
        <v>14</v>
      </c>
      <c r="C2025" s="195" t="s">
        <v>2546</v>
      </c>
      <c r="D2025" s="64">
        <v>955</v>
      </c>
      <c r="E2025" s="195" t="s">
        <v>373</v>
      </c>
      <c r="F2025" s="71" t="s">
        <v>2508</v>
      </c>
      <c r="G2025" s="71" t="s">
        <v>2512</v>
      </c>
      <c r="H2025" s="71" t="s">
        <v>2517</v>
      </c>
      <c r="I2025" s="71" t="s">
        <v>1440</v>
      </c>
      <c r="J2025" s="71" t="s">
        <v>2460</v>
      </c>
    </row>
    <row r="2026" spans="1:10" ht="43.5" x14ac:dyDescent="0.35">
      <c r="A2026" s="195">
        <v>15</v>
      </c>
      <c r="B2026" s="195">
        <v>14</v>
      </c>
      <c r="C2026" s="195" t="s">
        <v>2548</v>
      </c>
      <c r="D2026" s="64">
        <v>755</v>
      </c>
      <c r="E2026" s="195" t="s">
        <v>373</v>
      </c>
      <c r="F2026" s="71" t="s">
        <v>2510</v>
      </c>
      <c r="G2026" s="71" t="s">
        <v>2512</v>
      </c>
      <c r="H2026" s="71" t="s">
        <v>2517</v>
      </c>
      <c r="I2026" s="71" t="s">
        <v>1440</v>
      </c>
      <c r="J2026" s="71" t="s">
        <v>2460</v>
      </c>
    </row>
    <row r="2027" spans="1:10" ht="43.5" x14ac:dyDescent="0.35">
      <c r="A2027" s="195">
        <v>15</v>
      </c>
      <c r="B2027" s="195">
        <v>14</v>
      </c>
      <c r="C2027" s="195" t="s">
        <v>2547</v>
      </c>
      <c r="D2027" s="64">
        <v>1350</v>
      </c>
      <c r="E2027" s="195" t="s">
        <v>373</v>
      </c>
      <c r="F2027" s="71" t="s">
        <v>508</v>
      </c>
      <c r="G2027" s="71" t="s">
        <v>2512</v>
      </c>
      <c r="H2027" s="71" t="s">
        <v>2456</v>
      </c>
      <c r="I2027" s="71" t="s">
        <v>397</v>
      </c>
      <c r="J2027" s="71" t="s">
        <v>2460</v>
      </c>
    </row>
    <row r="2028" spans="1:10" ht="43.5" x14ac:dyDescent="0.35">
      <c r="A2028" s="195">
        <v>15</v>
      </c>
      <c r="B2028" s="195">
        <v>15</v>
      </c>
      <c r="C2028" s="195" t="s">
        <v>2550</v>
      </c>
      <c r="D2028" s="64">
        <v>4315</v>
      </c>
      <c r="E2028" s="195" t="s">
        <v>373</v>
      </c>
      <c r="F2028" s="71" t="s">
        <v>2508</v>
      </c>
      <c r="G2028" s="71" t="s">
        <v>2512</v>
      </c>
      <c r="H2028" s="71" t="s">
        <v>2517</v>
      </c>
      <c r="I2028" s="71" t="s">
        <v>1440</v>
      </c>
      <c r="J2028" s="71" t="s">
        <v>2463</v>
      </c>
    </row>
    <row r="2029" spans="1:10" ht="43.5" x14ac:dyDescent="0.35">
      <c r="A2029" s="195">
        <v>15</v>
      </c>
      <c r="B2029" s="195">
        <v>15</v>
      </c>
      <c r="C2029" s="195" t="s">
        <v>2551</v>
      </c>
      <c r="D2029" s="64">
        <v>3165</v>
      </c>
      <c r="E2029" s="195" t="s">
        <v>373</v>
      </c>
      <c r="F2029" s="71" t="s">
        <v>2510</v>
      </c>
      <c r="G2029" s="71" t="s">
        <v>2512</v>
      </c>
      <c r="H2029" s="71" t="s">
        <v>2517</v>
      </c>
      <c r="I2029" s="71" t="s">
        <v>1440</v>
      </c>
      <c r="J2029" s="71" t="s">
        <v>2463</v>
      </c>
    </row>
    <row r="2030" spans="1:10" ht="43.5" x14ac:dyDescent="0.35">
      <c r="A2030" s="195">
        <v>15</v>
      </c>
      <c r="B2030" s="195">
        <v>15</v>
      </c>
      <c r="C2030" s="195" t="s">
        <v>2549</v>
      </c>
      <c r="D2030" s="64">
        <v>2400</v>
      </c>
      <c r="E2030" s="195" t="s">
        <v>373</v>
      </c>
      <c r="F2030" s="71" t="s">
        <v>508</v>
      </c>
      <c r="G2030" s="71" t="s">
        <v>2512</v>
      </c>
      <c r="H2030" s="71" t="s">
        <v>2456</v>
      </c>
      <c r="I2030" s="71" t="s">
        <v>397</v>
      </c>
      <c r="J2030" s="71" t="s">
        <v>2463</v>
      </c>
    </row>
    <row r="2031" spans="1:10" ht="43.5" x14ac:dyDescent="0.35">
      <c r="A2031" s="195">
        <v>15</v>
      </c>
      <c r="B2031" s="195">
        <v>16</v>
      </c>
      <c r="C2031" s="195" t="s">
        <v>2553</v>
      </c>
      <c r="D2031" s="64">
        <v>12460</v>
      </c>
      <c r="E2031" s="195" t="s">
        <v>373</v>
      </c>
      <c r="F2031" s="71" t="s">
        <v>2508</v>
      </c>
      <c r="G2031" s="71" t="s">
        <v>2512</v>
      </c>
      <c r="H2031" s="71" t="s">
        <v>2517</v>
      </c>
      <c r="I2031" s="71" t="s">
        <v>1440</v>
      </c>
      <c r="J2031" s="71" t="s">
        <v>2466</v>
      </c>
    </row>
    <row r="2032" spans="1:10" ht="43.5" x14ac:dyDescent="0.35">
      <c r="A2032" s="195">
        <v>15</v>
      </c>
      <c r="B2032" s="195">
        <v>16</v>
      </c>
      <c r="C2032" s="195" t="s">
        <v>2554</v>
      </c>
      <c r="D2032" s="64">
        <v>6140</v>
      </c>
      <c r="E2032" s="195" t="s">
        <v>373</v>
      </c>
      <c r="F2032" s="71" t="s">
        <v>2510</v>
      </c>
      <c r="G2032" s="71" t="s">
        <v>2512</v>
      </c>
      <c r="H2032" s="71" t="s">
        <v>2517</v>
      </c>
      <c r="I2032" s="71" t="s">
        <v>1440</v>
      </c>
      <c r="J2032" s="71" t="s">
        <v>2466</v>
      </c>
    </row>
    <row r="2033" spans="1:10" ht="43.5" x14ac:dyDescent="0.35">
      <c r="A2033" s="195">
        <v>15</v>
      </c>
      <c r="B2033" s="195">
        <v>16</v>
      </c>
      <c r="C2033" s="195" t="s">
        <v>2552</v>
      </c>
      <c r="D2033" s="64">
        <v>2355</v>
      </c>
      <c r="E2033" s="195" t="s">
        <v>373</v>
      </c>
      <c r="F2033" s="71" t="s">
        <v>508</v>
      </c>
      <c r="G2033" s="71" t="s">
        <v>2512</v>
      </c>
      <c r="H2033" s="71" t="s">
        <v>2456</v>
      </c>
      <c r="I2033" s="71" t="s">
        <v>397</v>
      </c>
      <c r="J2033" s="71" t="s">
        <v>2466</v>
      </c>
    </row>
    <row r="2034" spans="1:10" ht="43.5" x14ac:dyDescent="0.35">
      <c r="A2034" s="195">
        <v>15</v>
      </c>
      <c r="B2034" s="195">
        <v>17</v>
      </c>
      <c r="C2034" s="195" t="s">
        <v>2557</v>
      </c>
      <c r="D2034" s="64">
        <v>10975</v>
      </c>
      <c r="E2034" s="195" t="s">
        <v>366</v>
      </c>
      <c r="F2034" s="71" t="s">
        <v>2508</v>
      </c>
      <c r="G2034" s="71" t="s">
        <v>2512</v>
      </c>
      <c r="H2034" s="71" t="s">
        <v>2517</v>
      </c>
      <c r="I2034" s="71" t="s">
        <v>1467</v>
      </c>
      <c r="J2034" s="71" t="s">
        <v>2443</v>
      </c>
    </row>
    <row r="2035" spans="1:10" ht="43.5" x14ac:dyDescent="0.35">
      <c r="A2035" s="195">
        <v>15</v>
      </c>
      <c r="B2035" s="195">
        <v>17</v>
      </c>
      <c r="C2035" s="195" t="s">
        <v>2556</v>
      </c>
      <c r="D2035" s="64">
        <v>4600</v>
      </c>
      <c r="E2035" s="195" t="s">
        <v>366</v>
      </c>
      <c r="F2035" s="71" t="s">
        <v>2510</v>
      </c>
      <c r="G2035" s="71" t="s">
        <v>2512</v>
      </c>
      <c r="H2035" s="71" t="s">
        <v>2517</v>
      </c>
      <c r="I2035" s="71" t="s">
        <v>1467</v>
      </c>
      <c r="J2035" s="71" t="s">
        <v>2443</v>
      </c>
    </row>
    <row r="2036" spans="1:10" ht="43.5" x14ac:dyDescent="0.35">
      <c r="A2036" s="195">
        <v>15</v>
      </c>
      <c r="B2036" s="195">
        <v>17</v>
      </c>
      <c r="C2036" s="195" t="s">
        <v>2555</v>
      </c>
      <c r="D2036" s="64">
        <v>2265</v>
      </c>
      <c r="E2036" s="195" t="s">
        <v>366</v>
      </c>
      <c r="F2036" s="71" t="s">
        <v>508</v>
      </c>
      <c r="G2036" s="71" t="s">
        <v>2512</v>
      </c>
      <c r="H2036" s="71" t="s">
        <v>2456</v>
      </c>
      <c r="I2036" s="71" t="s">
        <v>406</v>
      </c>
      <c r="J2036" s="71" t="s">
        <v>2443</v>
      </c>
    </row>
    <row r="2037" spans="1:10" ht="43.5" x14ac:dyDescent="0.35">
      <c r="A2037" s="195">
        <v>15</v>
      </c>
      <c r="B2037" s="195">
        <v>18</v>
      </c>
      <c r="C2037" s="195" t="s">
        <v>2560</v>
      </c>
      <c r="D2037" s="64">
        <v>775</v>
      </c>
      <c r="E2037" s="195" t="s">
        <v>373</v>
      </c>
      <c r="F2037" s="71" t="s">
        <v>2508</v>
      </c>
      <c r="G2037" s="71" t="s">
        <v>2512</v>
      </c>
      <c r="H2037" s="71" t="s">
        <v>2517</v>
      </c>
      <c r="I2037" s="71" t="s">
        <v>1467</v>
      </c>
      <c r="J2037" s="71" t="s">
        <v>2460</v>
      </c>
    </row>
    <row r="2038" spans="1:10" ht="43.5" x14ac:dyDescent="0.35">
      <c r="A2038" s="195">
        <v>15</v>
      </c>
      <c r="B2038" s="195">
        <v>18</v>
      </c>
      <c r="C2038" s="195" t="s">
        <v>2559</v>
      </c>
      <c r="D2038" s="195">
        <v>380</v>
      </c>
      <c r="E2038" s="195" t="s">
        <v>373</v>
      </c>
      <c r="F2038" s="71" t="s">
        <v>2510</v>
      </c>
      <c r="G2038" s="71" t="s">
        <v>2512</v>
      </c>
      <c r="H2038" s="71" t="s">
        <v>2517</v>
      </c>
      <c r="I2038" s="71" t="s">
        <v>1467</v>
      </c>
      <c r="J2038" s="71" t="s">
        <v>2460</v>
      </c>
    </row>
    <row r="2039" spans="1:10" ht="43.5" x14ac:dyDescent="0.35">
      <c r="A2039" s="195">
        <v>15</v>
      </c>
      <c r="B2039" s="195">
        <v>18</v>
      </c>
      <c r="C2039" s="195" t="s">
        <v>2558</v>
      </c>
      <c r="D2039" s="195">
        <v>445</v>
      </c>
      <c r="E2039" s="195" t="s">
        <v>373</v>
      </c>
      <c r="F2039" s="71" t="s">
        <v>508</v>
      </c>
      <c r="G2039" s="71" t="s">
        <v>2512</v>
      </c>
      <c r="H2039" s="71" t="s">
        <v>2456</v>
      </c>
      <c r="I2039" s="71" t="s">
        <v>406</v>
      </c>
      <c r="J2039" s="71" t="s">
        <v>2460</v>
      </c>
    </row>
    <row r="2040" spans="1:10" ht="43.5" x14ac:dyDescent="0.35">
      <c r="A2040" s="195">
        <v>15</v>
      </c>
      <c r="B2040" s="195">
        <v>19</v>
      </c>
      <c r="C2040" s="195" t="s">
        <v>2563</v>
      </c>
      <c r="D2040" s="64">
        <v>2670</v>
      </c>
      <c r="E2040" s="195" t="s">
        <v>373</v>
      </c>
      <c r="F2040" s="71" t="s">
        <v>2508</v>
      </c>
      <c r="G2040" s="71" t="s">
        <v>2512</v>
      </c>
      <c r="H2040" s="71" t="s">
        <v>2517</v>
      </c>
      <c r="I2040" s="71" t="s">
        <v>1467</v>
      </c>
      <c r="J2040" s="71" t="s">
        <v>2463</v>
      </c>
    </row>
    <row r="2041" spans="1:10" ht="43.5" x14ac:dyDescent="0.35">
      <c r="A2041" s="195">
        <v>15</v>
      </c>
      <c r="B2041" s="195">
        <v>19</v>
      </c>
      <c r="C2041" s="195" t="s">
        <v>2561</v>
      </c>
      <c r="D2041" s="64">
        <v>1300</v>
      </c>
      <c r="E2041" s="195" t="s">
        <v>373</v>
      </c>
      <c r="F2041" s="71" t="s">
        <v>2510</v>
      </c>
      <c r="G2041" s="71" t="s">
        <v>2512</v>
      </c>
      <c r="H2041" s="71" t="s">
        <v>2517</v>
      </c>
      <c r="I2041" s="71" t="s">
        <v>1467</v>
      </c>
      <c r="J2041" s="71" t="s">
        <v>2463</v>
      </c>
    </row>
    <row r="2042" spans="1:10" ht="43.5" x14ac:dyDescent="0.35">
      <c r="A2042" s="195">
        <v>15</v>
      </c>
      <c r="B2042" s="195">
        <v>19</v>
      </c>
      <c r="C2042" s="195" t="s">
        <v>2562</v>
      </c>
      <c r="D2042" s="64">
        <v>1010</v>
      </c>
      <c r="E2042" s="195" t="s">
        <v>373</v>
      </c>
      <c r="F2042" s="71" t="s">
        <v>508</v>
      </c>
      <c r="G2042" s="71" t="s">
        <v>2512</v>
      </c>
      <c r="H2042" s="71" t="s">
        <v>2456</v>
      </c>
      <c r="I2042" s="71" t="s">
        <v>406</v>
      </c>
      <c r="J2042" s="71" t="s">
        <v>2463</v>
      </c>
    </row>
    <row r="2043" spans="1:10" ht="43.5" x14ac:dyDescent="0.35">
      <c r="A2043" s="195">
        <v>15</v>
      </c>
      <c r="B2043" s="195">
        <v>20</v>
      </c>
      <c r="C2043" s="195" t="s">
        <v>2564</v>
      </c>
      <c r="D2043" s="64">
        <v>7530</v>
      </c>
      <c r="E2043" s="195" t="s">
        <v>373</v>
      </c>
      <c r="F2043" s="71" t="s">
        <v>2508</v>
      </c>
      <c r="G2043" s="71" t="s">
        <v>2512</v>
      </c>
      <c r="H2043" s="71" t="s">
        <v>2517</v>
      </c>
      <c r="I2043" s="71" t="s">
        <v>1467</v>
      </c>
      <c r="J2043" s="71" t="s">
        <v>2466</v>
      </c>
    </row>
    <row r="2044" spans="1:10" ht="43.5" x14ac:dyDescent="0.35">
      <c r="A2044" s="195">
        <v>15</v>
      </c>
      <c r="B2044" s="195">
        <v>20</v>
      </c>
      <c r="C2044" s="195" t="s">
        <v>2565</v>
      </c>
      <c r="D2044" s="64">
        <v>2920</v>
      </c>
      <c r="E2044" s="195" t="s">
        <v>373</v>
      </c>
      <c r="F2044" s="71" t="s">
        <v>2510</v>
      </c>
      <c r="G2044" s="71" t="s">
        <v>2512</v>
      </c>
      <c r="H2044" s="71" t="s">
        <v>2517</v>
      </c>
      <c r="I2044" s="71" t="s">
        <v>1467</v>
      </c>
      <c r="J2044" s="71" t="s">
        <v>2466</v>
      </c>
    </row>
    <row r="2045" spans="1:10" ht="43.5" x14ac:dyDescent="0.35">
      <c r="A2045" s="195">
        <v>15</v>
      </c>
      <c r="B2045" s="195">
        <v>20</v>
      </c>
      <c r="C2045" s="195" t="s">
        <v>2566</v>
      </c>
      <c r="D2045" s="64">
        <v>805</v>
      </c>
      <c r="E2045" s="195" t="s">
        <v>373</v>
      </c>
      <c r="F2045" s="71" t="s">
        <v>508</v>
      </c>
      <c r="G2045" s="71" t="s">
        <v>2512</v>
      </c>
      <c r="H2045" s="71" t="s">
        <v>2456</v>
      </c>
      <c r="I2045" s="71" t="s">
        <v>406</v>
      </c>
      <c r="J2045" s="71" t="s">
        <v>2466</v>
      </c>
    </row>
    <row r="2046" spans="1:10" ht="43.5" x14ac:dyDescent="0.35">
      <c r="A2046" s="195">
        <v>15</v>
      </c>
      <c r="B2046" s="195">
        <v>21</v>
      </c>
      <c r="C2046" s="195" t="s">
        <v>2569</v>
      </c>
      <c r="D2046" s="64">
        <v>27155</v>
      </c>
      <c r="E2046" s="195" t="s">
        <v>366</v>
      </c>
      <c r="F2046" s="71" t="s">
        <v>2508</v>
      </c>
      <c r="G2046" s="71" t="s">
        <v>2512</v>
      </c>
      <c r="H2046" s="71" t="s">
        <v>2517</v>
      </c>
      <c r="I2046" s="71" t="s">
        <v>1494</v>
      </c>
      <c r="J2046" s="71" t="s">
        <v>2443</v>
      </c>
    </row>
    <row r="2047" spans="1:10" ht="43.5" x14ac:dyDescent="0.35">
      <c r="A2047" s="195">
        <v>15</v>
      </c>
      <c r="B2047" s="195">
        <v>21</v>
      </c>
      <c r="C2047" s="195" t="s">
        <v>2568</v>
      </c>
      <c r="D2047" s="64">
        <v>10240</v>
      </c>
      <c r="E2047" s="195" t="s">
        <v>366</v>
      </c>
      <c r="F2047" s="71" t="s">
        <v>2510</v>
      </c>
      <c r="G2047" s="71" t="s">
        <v>2512</v>
      </c>
      <c r="H2047" s="71" t="s">
        <v>2517</v>
      </c>
      <c r="I2047" s="71" t="s">
        <v>1494</v>
      </c>
      <c r="J2047" s="71" t="s">
        <v>2443</v>
      </c>
    </row>
    <row r="2048" spans="1:10" ht="29" x14ac:dyDescent="0.35">
      <c r="A2048" s="195">
        <v>15</v>
      </c>
      <c r="B2048" s="195">
        <v>21</v>
      </c>
      <c r="C2048" s="195" t="s">
        <v>2567</v>
      </c>
      <c r="D2048" s="64">
        <v>4840</v>
      </c>
      <c r="E2048" s="195" t="s">
        <v>366</v>
      </c>
      <c r="F2048" s="71" t="s">
        <v>508</v>
      </c>
      <c r="G2048" s="71" t="s">
        <v>2512</v>
      </c>
      <c r="H2048" s="71" t="s">
        <v>2456</v>
      </c>
      <c r="I2048" s="71" t="s">
        <v>415</v>
      </c>
      <c r="J2048" s="71" t="s">
        <v>2443</v>
      </c>
    </row>
    <row r="2049" spans="1:10" ht="43.5" x14ac:dyDescent="0.35">
      <c r="A2049" s="195">
        <v>15</v>
      </c>
      <c r="B2049" s="195">
        <v>22</v>
      </c>
      <c r="C2049" s="195" t="s">
        <v>2571</v>
      </c>
      <c r="D2049" s="64">
        <v>1665</v>
      </c>
      <c r="E2049" s="195" t="s">
        <v>373</v>
      </c>
      <c r="F2049" s="71" t="s">
        <v>2508</v>
      </c>
      <c r="G2049" s="71" t="s">
        <v>2512</v>
      </c>
      <c r="H2049" s="71" t="s">
        <v>2517</v>
      </c>
      <c r="I2049" s="71" t="s">
        <v>1494</v>
      </c>
      <c r="J2049" s="71" t="s">
        <v>2460</v>
      </c>
    </row>
    <row r="2050" spans="1:10" ht="43.5" x14ac:dyDescent="0.35">
      <c r="A2050" s="195">
        <v>15</v>
      </c>
      <c r="B2050" s="195">
        <v>22</v>
      </c>
      <c r="C2050" s="195" t="s">
        <v>2572</v>
      </c>
      <c r="D2050" s="64">
        <v>840</v>
      </c>
      <c r="E2050" s="195" t="s">
        <v>373</v>
      </c>
      <c r="F2050" s="71" t="s">
        <v>2510</v>
      </c>
      <c r="G2050" s="71" t="s">
        <v>2512</v>
      </c>
      <c r="H2050" s="71" t="s">
        <v>2517</v>
      </c>
      <c r="I2050" s="71" t="s">
        <v>1494</v>
      </c>
      <c r="J2050" s="71" t="s">
        <v>2460</v>
      </c>
    </row>
    <row r="2051" spans="1:10" ht="29" x14ac:dyDescent="0.35">
      <c r="A2051" s="195">
        <v>15</v>
      </c>
      <c r="B2051" s="195">
        <v>22</v>
      </c>
      <c r="C2051" s="195" t="s">
        <v>2570</v>
      </c>
      <c r="D2051" s="64">
        <v>800</v>
      </c>
      <c r="E2051" s="195" t="s">
        <v>373</v>
      </c>
      <c r="F2051" s="71" t="s">
        <v>508</v>
      </c>
      <c r="G2051" s="71" t="s">
        <v>2512</v>
      </c>
      <c r="H2051" s="71" t="s">
        <v>2456</v>
      </c>
      <c r="I2051" s="71" t="s">
        <v>415</v>
      </c>
      <c r="J2051" s="71" t="s">
        <v>2460</v>
      </c>
    </row>
    <row r="2052" spans="1:10" ht="43.5" x14ac:dyDescent="0.35">
      <c r="A2052" s="195">
        <v>15</v>
      </c>
      <c r="B2052" s="195">
        <v>23</v>
      </c>
      <c r="C2052" s="195" t="s">
        <v>2573</v>
      </c>
      <c r="D2052" s="64">
        <v>6780</v>
      </c>
      <c r="E2052" s="195" t="s">
        <v>373</v>
      </c>
      <c r="F2052" s="71" t="s">
        <v>2508</v>
      </c>
      <c r="G2052" s="71" t="s">
        <v>2512</v>
      </c>
      <c r="H2052" s="71" t="s">
        <v>2517</v>
      </c>
      <c r="I2052" s="71" t="s">
        <v>1494</v>
      </c>
      <c r="J2052" s="71" t="s">
        <v>2463</v>
      </c>
    </row>
    <row r="2053" spans="1:10" ht="43.5" x14ac:dyDescent="0.35">
      <c r="A2053" s="195">
        <v>15</v>
      </c>
      <c r="B2053" s="195">
        <v>23</v>
      </c>
      <c r="C2053" s="195" t="s">
        <v>2574</v>
      </c>
      <c r="D2053" s="64">
        <v>2670</v>
      </c>
      <c r="E2053" s="195" t="s">
        <v>373</v>
      </c>
      <c r="F2053" s="71" t="s">
        <v>2510</v>
      </c>
      <c r="G2053" s="71" t="s">
        <v>2512</v>
      </c>
      <c r="H2053" s="71" t="s">
        <v>2517</v>
      </c>
      <c r="I2053" s="71" t="s">
        <v>1494</v>
      </c>
      <c r="J2053" s="71" t="s">
        <v>2463</v>
      </c>
    </row>
    <row r="2054" spans="1:10" ht="29" x14ac:dyDescent="0.35">
      <c r="A2054" s="195">
        <v>15</v>
      </c>
      <c r="B2054" s="195">
        <v>23</v>
      </c>
      <c r="C2054" s="195" t="s">
        <v>2575</v>
      </c>
      <c r="D2054" s="64">
        <v>1560</v>
      </c>
      <c r="E2054" s="195" t="s">
        <v>373</v>
      </c>
      <c r="F2054" s="71" t="s">
        <v>508</v>
      </c>
      <c r="G2054" s="71" t="s">
        <v>2512</v>
      </c>
      <c r="H2054" s="71" t="s">
        <v>2456</v>
      </c>
      <c r="I2054" s="71" t="s">
        <v>415</v>
      </c>
      <c r="J2054" s="71" t="s">
        <v>2463</v>
      </c>
    </row>
    <row r="2055" spans="1:10" ht="43.5" x14ac:dyDescent="0.35">
      <c r="A2055" s="195">
        <v>15</v>
      </c>
      <c r="B2055" s="195">
        <v>24</v>
      </c>
      <c r="C2055" s="195" t="s">
        <v>2577</v>
      </c>
      <c r="D2055" s="64">
        <v>18710</v>
      </c>
      <c r="E2055" s="195" t="s">
        <v>373</v>
      </c>
      <c r="F2055" s="71" t="s">
        <v>2508</v>
      </c>
      <c r="G2055" s="71" t="s">
        <v>2512</v>
      </c>
      <c r="H2055" s="71" t="s">
        <v>2517</v>
      </c>
      <c r="I2055" s="71" t="s">
        <v>1494</v>
      </c>
      <c r="J2055" s="71" t="s">
        <v>2466</v>
      </c>
    </row>
    <row r="2056" spans="1:10" ht="43.5" x14ac:dyDescent="0.35">
      <c r="A2056" s="195">
        <v>15</v>
      </c>
      <c r="B2056" s="195">
        <v>24</v>
      </c>
      <c r="C2056" s="195" t="s">
        <v>2578</v>
      </c>
      <c r="D2056" s="64">
        <v>6725</v>
      </c>
      <c r="E2056" s="195" t="s">
        <v>373</v>
      </c>
      <c r="F2056" s="71" t="s">
        <v>2510</v>
      </c>
      <c r="G2056" s="71" t="s">
        <v>2512</v>
      </c>
      <c r="H2056" s="71" t="s">
        <v>2517</v>
      </c>
      <c r="I2056" s="71" t="s">
        <v>1494</v>
      </c>
      <c r="J2056" s="71" t="s">
        <v>2466</v>
      </c>
    </row>
    <row r="2057" spans="1:10" ht="29" x14ac:dyDescent="0.35">
      <c r="A2057" s="195">
        <v>15</v>
      </c>
      <c r="B2057" s="195">
        <v>24</v>
      </c>
      <c r="C2057" s="195" t="s">
        <v>2576</v>
      </c>
      <c r="D2057" s="64">
        <v>2475</v>
      </c>
      <c r="E2057" s="195" t="s">
        <v>373</v>
      </c>
      <c r="F2057" s="71" t="s">
        <v>508</v>
      </c>
      <c r="G2057" s="71" t="s">
        <v>2512</v>
      </c>
      <c r="H2057" s="71" t="s">
        <v>2456</v>
      </c>
      <c r="I2057" s="71" t="s">
        <v>415</v>
      </c>
      <c r="J2057" s="71" t="s">
        <v>2466</v>
      </c>
    </row>
    <row r="2058" spans="1:10" ht="29" x14ac:dyDescent="0.35">
      <c r="A2058" s="195">
        <v>15</v>
      </c>
      <c r="B2058" s="195">
        <v>25</v>
      </c>
      <c r="C2058" s="195" t="s">
        <v>2580</v>
      </c>
      <c r="D2058" s="64">
        <v>80335</v>
      </c>
      <c r="E2058" s="195" t="s">
        <v>366</v>
      </c>
      <c r="F2058" s="71" t="s">
        <v>2508</v>
      </c>
      <c r="G2058" s="71" t="s">
        <v>2512</v>
      </c>
      <c r="H2058" s="71" t="s">
        <v>2581</v>
      </c>
      <c r="I2058" s="71" t="s">
        <v>363</v>
      </c>
      <c r="J2058" s="71" t="s">
        <v>2443</v>
      </c>
    </row>
    <row r="2059" spans="1:10" ht="29" x14ac:dyDescent="0.35">
      <c r="A2059" s="195">
        <v>15</v>
      </c>
      <c r="B2059" s="195">
        <v>25</v>
      </c>
      <c r="C2059" s="195" t="s">
        <v>2582</v>
      </c>
      <c r="D2059" s="64">
        <v>38520</v>
      </c>
      <c r="E2059" s="195" t="s">
        <v>366</v>
      </c>
      <c r="F2059" s="71" t="s">
        <v>2510</v>
      </c>
      <c r="G2059" s="71" t="s">
        <v>2512</v>
      </c>
      <c r="H2059" s="71" t="s">
        <v>2581</v>
      </c>
      <c r="I2059" s="71" t="s">
        <v>363</v>
      </c>
      <c r="J2059" s="71" t="s">
        <v>2443</v>
      </c>
    </row>
    <row r="2060" spans="1:10" ht="29" x14ac:dyDescent="0.35">
      <c r="A2060" s="195">
        <v>15</v>
      </c>
      <c r="B2060" s="195">
        <v>25</v>
      </c>
      <c r="C2060" s="195" t="s">
        <v>2579</v>
      </c>
      <c r="D2060" s="64">
        <v>166825</v>
      </c>
      <c r="E2060" s="195" t="s">
        <v>366</v>
      </c>
      <c r="F2060" s="71" t="s">
        <v>508</v>
      </c>
      <c r="G2060" s="71" t="s">
        <v>2512</v>
      </c>
      <c r="H2060" s="71" t="s">
        <v>2469</v>
      </c>
      <c r="I2060" s="71" t="s">
        <v>363</v>
      </c>
      <c r="J2060" s="71" t="s">
        <v>2443</v>
      </c>
    </row>
    <row r="2061" spans="1:10" ht="43.5" x14ac:dyDescent="0.35">
      <c r="A2061" s="195">
        <v>15</v>
      </c>
      <c r="B2061" s="195">
        <v>26</v>
      </c>
      <c r="C2061" s="195" t="s">
        <v>2583</v>
      </c>
      <c r="D2061" s="64">
        <v>6325</v>
      </c>
      <c r="E2061" s="195" t="s">
        <v>366</v>
      </c>
      <c r="F2061" s="71" t="s">
        <v>2508</v>
      </c>
      <c r="G2061" s="71" t="s">
        <v>2512</v>
      </c>
      <c r="H2061" s="71" t="s">
        <v>2581</v>
      </c>
      <c r="I2061" s="71" t="s">
        <v>1377</v>
      </c>
      <c r="J2061" s="71" t="s">
        <v>2443</v>
      </c>
    </row>
    <row r="2062" spans="1:10" ht="43.5" x14ac:dyDescent="0.35">
      <c r="A2062" s="195">
        <v>15</v>
      </c>
      <c r="B2062" s="195">
        <v>26</v>
      </c>
      <c r="C2062" s="195" t="s">
        <v>2585</v>
      </c>
      <c r="D2062" s="64">
        <v>7100</v>
      </c>
      <c r="E2062" s="195" t="s">
        <v>366</v>
      </c>
      <c r="F2062" s="71" t="s">
        <v>2510</v>
      </c>
      <c r="G2062" s="71" t="s">
        <v>2512</v>
      </c>
      <c r="H2062" s="71" t="s">
        <v>2581</v>
      </c>
      <c r="I2062" s="71" t="s">
        <v>1377</v>
      </c>
      <c r="J2062" s="71" t="s">
        <v>2443</v>
      </c>
    </row>
    <row r="2063" spans="1:10" ht="29" x14ac:dyDescent="0.35">
      <c r="A2063" s="195">
        <v>15</v>
      </c>
      <c r="B2063" s="195">
        <v>26</v>
      </c>
      <c r="C2063" s="195" t="s">
        <v>2584</v>
      </c>
      <c r="D2063" s="64">
        <v>64270</v>
      </c>
      <c r="E2063" s="195" t="s">
        <v>366</v>
      </c>
      <c r="F2063" s="71" t="s">
        <v>508</v>
      </c>
      <c r="G2063" s="71" t="s">
        <v>2512</v>
      </c>
      <c r="H2063" s="71" t="s">
        <v>2469</v>
      </c>
      <c r="I2063" s="71" t="s">
        <v>371</v>
      </c>
      <c r="J2063" s="71" t="s">
        <v>2443</v>
      </c>
    </row>
    <row r="2064" spans="1:10" ht="43.5" x14ac:dyDescent="0.35">
      <c r="A2064" s="195">
        <v>15</v>
      </c>
      <c r="B2064" s="195">
        <v>27</v>
      </c>
      <c r="C2064" s="195" t="s">
        <v>2588</v>
      </c>
      <c r="D2064" s="195">
        <v>380</v>
      </c>
      <c r="E2064" s="195" t="s">
        <v>373</v>
      </c>
      <c r="F2064" s="71" t="s">
        <v>2508</v>
      </c>
      <c r="G2064" s="71" t="s">
        <v>2512</v>
      </c>
      <c r="H2064" s="71" t="s">
        <v>2581</v>
      </c>
      <c r="I2064" s="71" t="s">
        <v>1377</v>
      </c>
      <c r="J2064" s="71" t="s">
        <v>2460</v>
      </c>
    </row>
    <row r="2065" spans="1:10" ht="43.5" x14ac:dyDescent="0.35">
      <c r="A2065" s="195">
        <v>15</v>
      </c>
      <c r="B2065" s="195">
        <v>27</v>
      </c>
      <c r="C2065" s="195" t="s">
        <v>2586</v>
      </c>
      <c r="D2065" s="195">
        <v>470</v>
      </c>
      <c r="E2065" s="195" t="s">
        <v>373</v>
      </c>
      <c r="F2065" s="71" t="s">
        <v>2510</v>
      </c>
      <c r="G2065" s="71" t="s">
        <v>2512</v>
      </c>
      <c r="H2065" s="71" t="s">
        <v>2581</v>
      </c>
      <c r="I2065" s="71" t="s">
        <v>1377</v>
      </c>
      <c r="J2065" s="71" t="s">
        <v>2460</v>
      </c>
    </row>
    <row r="2066" spans="1:10" ht="29" x14ac:dyDescent="0.35">
      <c r="A2066" s="195">
        <v>15</v>
      </c>
      <c r="B2066" s="195">
        <v>27</v>
      </c>
      <c r="C2066" s="195" t="s">
        <v>2587</v>
      </c>
      <c r="D2066" s="64">
        <v>23255</v>
      </c>
      <c r="E2066" s="195" t="s">
        <v>373</v>
      </c>
      <c r="F2066" s="71" t="s">
        <v>508</v>
      </c>
      <c r="G2066" s="71" t="s">
        <v>2512</v>
      </c>
      <c r="H2066" s="71" t="s">
        <v>2469</v>
      </c>
      <c r="I2066" s="71" t="s">
        <v>371</v>
      </c>
      <c r="J2066" s="71" t="s">
        <v>2460</v>
      </c>
    </row>
    <row r="2067" spans="1:10" ht="43.5" x14ac:dyDescent="0.35">
      <c r="A2067" s="195">
        <v>15</v>
      </c>
      <c r="B2067" s="195">
        <v>28</v>
      </c>
      <c r="C2067" s="195" t="s">
        <v>2590</v>
      </c>
      <c r="D2067" s="64">
        <v>2250</v>
      </c>
      <c r="E2067" s="195" t="s">
        <v>373</v>
      </c>
      <c r="F2067" s="71" t="s">
        <v>2508</v>
      </c>
      <c r="G2067" s="71" t="s">
        <v>2512</v>
      </c>
      <c r="H2067" s="71" t="s">
        <v>2581</v>
      </c>
      <c r="I2067" s="71" t="s">
        <v>1377</v>
      </c>
      <c r="J2067" s="71" t="s">
        <v>2463</v>
      </c>
    </row>
    <row r="2068" spans="1:10" ht="43.5" x14ac:dyDescent="0.35">
      <c r="A2068" s="195">
        <v>15</v>
      </c>
      <c r="B2068" s="195">
        <v>28</v>
      </c>
      <c r="C2068" s="195" t="s">
        <v>2589</v>
      </c>
      <c r="D2068" s="64">
        <v>2660</v>
      </c>
      <c r="E2068" s="195" t="s">
        <v>373</v>
      </c>
      <c r="F2068" s="71" t="s">
        <v>2510</v>
      </c>
      <c r="G2068" s="71" t="s">
        <v>2512</v>
      </c>
      <c r="H2068" s="71" t="s">
        <v>2581</v>
      </c>
      <c r="I2068" s="71" t="s">
        <v>1377</v>
      </c>
      <c r="J2068" s="71" t="s">
        <v>2463</v>
      </c>
    </row>
    <row r="2069" spans="1:10" ht="29" x14ac:dyDescent="0.35">
      <c r="A2069" s="195">
        <v>15</v>
      </c>
      <c r="B2069" s="195">
        <v>28</v>
      </c>
      <c r="C2069" s="195" t="s">
        <v>2591</v>
      </c>
      <c r="D2069" s="64">
        <v>25135</v>
      </c>
      <c r="E2069" s="195" t="s">
        <v>373</v>
      </c>
      <c r="F2069" s="71" t="s">
        <v>508</v>
      </c>
      <c r="G2069" s="71" t="s">
        <v>2512</v>
      </c>
      <c r="H2069" s="71" t="s">
        <v>2469</v>
      </c>
      <c r="I2069" s="71" t="s">
        <v>371</v>
      </c>
      <c r="J2069" s="71" t="s">
        <v>2463</v>
      </c>
    </row>
    <row r="2070" spans="1:10" ht="43.5" x14ac:dyDescent="0.35">
      <c r="A2070" s="195">
        <v>15</v>
      </c>
      <c r="B2070" s="195">
        <v>29</v>
      </c>
      <c r="C2070" s="195" t="s">
        <v>2593</v>
      </c>
      <c r="D2070" s="64">
        <v>3695</v>
      </c>
      <c r="E2070" s="195" t="s">
        <v>373</v>
      </c>
      <c r="F2070" s="71" t="s">
        <v>2508</v>
      </c>
      <c r="G2070" s="71" t="s">
        <v>2512</v>
      </c>
      <c r="H2070" s="71" t="s">
        <v>2581</v>
      </c>
      <c r="I2070" s="71" t="s">
        <v>1377</v>
      </c>
      <c r="J2070" s="71" t="s">
        <v>2466</v>
      </c>
    </row>
    <row r="2071" spans="1:10" ht="43.5" x14ac:dyDescent="0.35">
      <c r="A2071" s="195">
        <v>15</v>
      </c>
      <c r="B2071" s="195">
        <v>29</v>
      </c>
      <c r="C2071" s="195" t="s">
        <v>2592</v>
      </c>
      <c r="D2071" s="64">
        <v>3970</v>
      </c>
      <c r="E2071" s="195" t="s">
        <v>373</v>
      </c>
      <c r="F2071" s="71" t="s">
        <v>2510</v>
      </c>
      <c r="G2071" s="71" t="s">
        <v>2512</v>
      </c>
      <c r="H2071" s="71" t="s">
        <v>2581</v>
      </c>
      <c r="I2071" s="71" t="s">
        <v>1377</v>
      </c>
      <c r="J2071" s="71" t="s">
        <v>2466</v>
      </c>
    </row>
    <row r="2072" spans="1:10" ht="29" x14ac:dyDescent="0.35">
      <c r="A2072" s="195">
        <v>15</v>
      </c>
      <c r="B2072" s="195">
        <v>29</v>
      </c>
      <c r="C2072" s="195" t="s">
        <v>2594</v>
      </c>
      <c r="D2072" s="64">
        <v>15880</v>
      </c>
      <c r="E2072" s="195" t="s">
        <v>373</v>
      </c>
      <c r="F2072" s="71" t="s">
        <v>508</v>
      </c>
      <c r="G2072" s="71" t="s">
        <v>2512</v>
      </c>
      <c r="H2072" s="71" t="s">
        <v>2469</v>
      </c>
      <c r="I2072" s="71" t="s">
        <v>371</v>
      </c>
      <c r="J2072" s="71" t="s">
        <v>2466</v>
      </c>
    </row>
    <row r="2073" spans="1:10" ht="43.5" x14ac:dyDescent="0.35">
      <c r="A2073" s="195">
        <v>15</v>
      </c>
      <c r="B2073" s="195">
        <v>30</v>
      </c>
      <c r="C2073" s="195" t="s">
        <v>2595</v>
      </c>
      <c r="D2073" s="64">
        <v>8490</v>
      </c>
      <c r="E2073" s="195" t="s">
        <v>366</v>
      </c>
      <c r="F2073" s="71" t="s">
        <v>2508</v>
      </c>
      <c r="G2073" s="71" t="s">
        <v>2512</v>
      </c>
      <c r="H2073" s="71" t="s">
        <v>2581</v>
      </c>
      <c r="I2073" s="71" t="s">
        <v>1413</v>
      </c>
      <c r="J2073" s="71" t="s">
        <v>2443</v>
      </c>
    </row>
    <row r="2074" spans="1:10" ht="43.5" x14ac:dyDescent="0.35">
      <c r="A2074" s="195">
        <v>15</v>
      </c>
      <c r="B2074" s="195">
        <v>30</v>
      </c>
      <c r="C2074" s="195" t="s">
        <v>2596</v>
      </c>
      <c r="D2074" s="64">
        <v>7450</v>
      </c>
      <c r="E2074" s="195" t="s">
        <v>366</v>
      </c>
      <c r="F2074" s="71" t="s">
        <v>2510</v>
      </c>
      <c r="G2074" s="71" t="s">
        <v>2512</v>
      </c>
      <c r="H2074" s="71" t="s">
        <v>2581</v>
      </c>
      <c r="I2074" s="71" t="s">
        <v>1413</v>
      </c>
      <c r="J2074" s="71" t="s">
        <v>2443</v>
      </c>
    </row>
    <row r="2075" spans="1:10" ht="43.5" x14ac:dyDescent="0.35">
      <c r="A2075" s="195">
        <v>15</v>
      </c>
      <c r="B2075" s="195">
        <v>30</v>
      </c>
      <c r="C2075" s="195" t="s">
        <v>2597</v>
      </c>
      <c r="D2075" s="64">
        <v>41875</v>
      </c>
      <c r="E2075" s="195" t="s">
        <v>366</v>
      </c>
      <c r="F2075" s="71" t="s">
        <v>508</v>
      </c>
      <c r="G2075" s="71" t="s">
        <v>2512</v>
      </c>
      <c r="H2075" s="71" t="s">
        <v>2469</v>
      </c>
      <c r="I2075" s="71" t="s">
        <v>388</v>
      </c>
      <c r="J2075" s="71" t="s">
        <v>2443</v>
      </c>
    </row>
    <row r="2076" spans="1:10" ht="43.5" x14ac:dyDescent="0.35">
      <c r="A2076" s="195">
        <v>15</v>
      </c>
      <c r="B2076" s="195">
        <v>31</v>
      </c>
      <c r="C2076" s="195" t="s">
        <v>2600</v>
      </c>
      <c r="D2076" s="195">
        <v>280</v>
      </c>
      <c r="E2076" s="195" t="s">
        <v>373</v>
      </c>
      <c r="F2076" s="71" t="s">
        <v>2508</v>
      </c>
      <c r="G2076" s="71" t="s">
        <v>2512</v>
      </c>
      <c r="H2076" s="71" t="s">
        <v>2581</v>
      </c>
      <c r="I2076" s="71" t="s">
        <v>1413</v>
      </c>
      <c r="J2076" s="71" t="s">
        <v>2460</v>
      </c>
    </row>
    <row r="2077" spans="1:10" ht="43.5" x14ac:dyDescent="0.35">
      <c r="A2077" s="195">
        <v>15</v>
      </c>
      <c r="B2077" s="195">
        <v>31</v>
      </c>
      <c r="C2077" s="195" t="s">
        <v>2598</v>
      </c>
      <c r="D2077" s="64">
        <v>360</v>
      </c>
      <c r="E2077" s="195" t="s">
        <v>373</v>
      </c>
      <c r="F2077" s="71" t="s">
        <v>2510</v>
      </c>
      <c r="G2077" s="71" t="s">
        <v>2512</v>
      </c>
      <c r="H2077" s="71" t="s">
        <v>2581</v>
      </c>
      <c r="I2077" s="71" t="s">
        <v>1413</v>
      </c>
      <c r="J2077" s="71" t="s">
        <v>2460</v>
      </c>
    </row>
    <row r="2078" spans="1:10" ht="43.5" x14ac:dyDescent="0.35">
      <c r="A2078" s="195">
        <v>15</v>
      </c>
      <c r="B2078" s="195">
        <v>31</v>
      </c>
      <c r="C2078" s="195" t="s">
        <v>2599</v>
      </c>
      <c r="D2078" s="195">
        <v>12735</v>
      </c>
      <c r="E2078" s="195" t="s">
        <v>373</v>
      </c>
      <c r="F2078" s="71" t="s">
        <v>508</v>
      </c>
      <c r="G2078" s="71" t="s">
        <v>2512</v>
      </c>
      <c r="H2078" s="71" t="s">
        <v>2469</v>
      </c>
      <c r="I2078" s="71" t="s">
        <v>388</v>
      </c>
      <c r="J2078" s="71" t="s">
        <v>2460</v>
      </c>
    </row>
    <row r="2079" spans="1:10" ht="43.5" x14ac:dyDescent="0.35">
      <c r="A2079" s="195">
        <v>15</v>
      </c>
      <c r="B2079" s="195">
        <v>32</v>
      </c>
      <c r="C2079" s="195" t="s">
        <v>2601</v>
      </c>
      <c r="D2079" s="64">
        <v>2840</v>
      </c>
      <c r="E2079" s="195" t="s">
        <v>373</v>
      </c>
      <c r="F2079" s="71" t="s">
        <v>2508</v>
      </c>
      <c r="G2079" s="71" t="s">
        <v>2512</v>
      </c>
      <c r="H2079" s="71" t="s">
        <v>2581</v>
      </c>
      <c r="I2079" s="71" t="s">
        <v>1413</v>
      </c>
      <c r="J2079" s="71" t="s">
        <v>2463</v>
      </c>
    </row>
    <row r="2080" spans="1:10" ht="43.5" x14ac:dyDescent="0.35">
      <c r="A2080" s="195">
        <v>15</v>
      </c>
      <c r="B2080" s="195">
        <v>32</v>
      </c>
      <c r="C2080" s="195" t="s">
        <v>2602</v>
      </c>
      <c r="D2080" s="64">
        <v>2745</v>
      </c>
      <c r="E2080" s="195" t="s">
        <v>373</v>
      </c>
      <c r="F2080" s="71" t="s">
        <v>2510</v>
      </c>
      <c r="G2080" s="71" t="s">
        <v>2512</v>
      </c>
      <c r="H2080" s="71" t="s">
        <v>2581</v>
      </c>
      <c r="I2080" s="71" t="s">
        <v>1413</v>
      </c>
      <c r="J2080" s="71" t="s">
        <v>2463</v>
      </c>
    </row>
    <row r="2081" spans="1:10" ht="43.5" x14ac:dyDescent="0.35">
      <c r="A2081" s="195">
        <v>15</v>
      </c>
      <c r="B2081" s="195">
        <v>32</v>
      </c>
      <c r="C2081" s="195" t="s">
        <v>2603</v>
      </c>
      <c r="D2081" s="64">
        <v>18325</v>
      </c>
      <c r="E2081" s="195" t="s">
        <v>373</v>
      </c>
      <c r="F2081" s="71" t="s">
        <v>508</v>
      </c>
      <c r="G2081" s="71" t="s">
        <v>2512</v>
      </c>
      <c r="H2081" s="71" t="s">
        <v>2469</v>
      </c>
      <c r="I2081" s="71" t="s">
        <v>388</v>
      </c>
      <c r="J2081" s="71" t="s">
        <v>2463</v>
      </c>
    </row>
    <row r="2082" spans="1:10" ht="43.5" x14ac:dyDescent="0.35">
      <c r="A2082" s="195">
        <v>15</v>
      </c>
      <c r="B2082" s="195">
        <v>33</v>
      </c>
      <c r="C2082" s="195" t="s">
        <v>2605</v>
      </c>
      <c r="D2082" s="64">
        <v>5370</v>
      </c>
      <c r="E2082" s="195" t="s">
        <v>373</v>
      </c>
      <c r="F2082" s="71" t="s">
        <v>2508</v>
      </c>
      <c r="G2082" s="71" t="s">
        <v>2512</v>
      </c>
      <c r="H2082" s="71" t="s">
        <v>2581</v>
      </c>
      <c r="I2082" s="71" t="s">
        <v>1413</v>
      </c>
      <c r="J2082" s="71" t="s">
        <v>2466</v>
      </c>
    </row>
    <row r="2083" spans="1:10" ht="43.5" x14ac:dyDescent="0.35">
      <c r="A2083" s="195">
        <v>15</v>
      </c>
      <c r="B2083" s="195">
        <v>33</v>
      </c>
      <c r="C2083" s="195" t="s">
        <v>2606</v>
      </c>
      <c r="D2083" s="64">
        <v>4345</v>
      </c>
      <c r="E2083" s="195" t="s">
        <v>373</v>
      </c>
      <c r="F2083" s="71" t="s">
        <v>2510</v>
      </c>
      <c r="G2083" s="71" t="s">
        <v>2512</v>
      </c>
      <c r="H2083" s="71" t="s">
        <v>2581</v>
      </c>
      <c r="I2083" s="71" t="s">
        <v>1413</v>
      </c>
      <c r="J2083" s="71" t="s">
        <v>2466</v>
      </c>
    </row>
    <row r="2084" spans="1:10" ht="43.5" x14ac:dyDescent="0.35">
      <c r="A2084" s="195">
        <v>15</v>
      </c>
      <c r="B2084" s="195">
        <v>33</v>
      </c>
      <c r="C2084" s="195" t="s">
        <v>2604</v>
      </c>
      <c r="D2084" s="64">
        <v>10815</v>
      </c>
      <c r="E2084" s="195" t="s">
        <v>373</v>
      </c>
      <c r="F2084" s="71" t="s">
        <v>508</v>
      </c>
      <c r="G2084" s="71" t="s">
        <v>2512</v>
      </c>
      <c r="H2084" s="71" t="s">
        <v>2469</v>
      </c>
      <c r="I2084" s="71" t="s">
        <v>388</v>
      </c>
      <c r="J2084" s="71" t="s">
        <v>2466</v>
      </c>
    </row>
    <row r="2085" spans="1:10" ht="43.5" x14ac:dyDescent="0.35">
      <c r="A2085" s="195">
        <v>15</v>
      </c>
      <c r="B2085" s="195">
        <v>34</v>
      </c>
      <c r="C2085" s="195" t="s">
        <v>2608</v>
      </c>
      <c r="D2085" s="64">
        <v>14740</v>
      </c>
      <c r="E2085" s="195" t="s">
        <v>366</v>
      </c>
      <c r="F2085" s="71" t="s">
        <v>2508</v>
      </c>
      <c r="G2085" s="71" t="s">
        <v>2512</v>
      </c>
      <c r="H2085" s="71" t="s">
        <v>2581</v>
      </c>
      <c r="I2085" s="71" t="s">
        <v>1440</v>
      </c>
      <c r="J2085" s="71" t="s">
        <v>2443</v>
      </c>
    </row>
    <row r="2086" spans="1:10" ht="43.5" x14ac:dyDescent="0.35">
      <c r="A2086" s="195">
        <v>15</v>
      </c>
      <c r="B2086" s="195">
        <v>34</v>
      </c>
      <c r="C2086" s="195" t="s">
        <v>2607</v>
      </c>
      <c r="D2086" s="64">
        <v>8030</v>
      </c>
      <c r="E2086" s="195" t="s">
        <v>366</v>
      </c>
      <c r="F2086" s="71" t="s">
        <v>2510</v>
      </c>
      <c r="G2086" s="71" t="s">
        <v>2512</v>
      </c>
      <c r="H2086" s="71" t="s">
        <v>2581</v>
      </c>
      <c r="I2086" s="71" t="s">
        <v>1440</v>
      </c>
      <c r="J2086" s="71" t="s">
        <v>2443</v>
      </c>
    </row>
    <row r="2087" spans="1:10" ht="43.5" x14ac:dyDescent="0.35">
      <c r="A2087" s="195">
        <v>15</v>
      </c>
      <c r="B2087" s="195">
        <v>34</v>
      </c>
      <c r="C2087" s="195" t="s">
        <v>2609</v>
      </c>
      <c r="D2087" s="64">
        <v>34930</v>
      </c>
      <c r="E2087" s="195" t="s">
        <v>366</v>
      </c>
      <c r="F2087" s="71" t="s">
        <v>508</v>
      </c>
      <c r="G2087" s="71" t="s">
        <v>2512</v>
      </c>
      <c r="H2087" s="71" t="s">
        <v>2469</v>
      </c>
      <c r="I2087" s="71" t="s">
        <v>397</v>
      </c>
      <c r="J2087" s="71" t="s">
        <v>2443</v>
      </c>
    </row>
    <row r="2088" spans="1:10" ht="43.5" x14ac:dyDescent="0.35">
      <c r="A2088" s="195">
        <v>15</v>
      </c>
      <c r="B2088" s="195">
        <v>35</v>
      </c>
      <c r="C2088" s="195" t="s">
        <v>2610</v>
      </c>
      <c r="D2088" s="195">
        <v>810</v>
      </c>
      <c r="E2088" s="195" t="s">
        <v>373</v>
      </c>
      <c r="F2088" s="71" t="s">
        <v>2508</v>
      </c>
      <c r="G2088" s="71" t="s">
        <v>2512</v>
      </c>
      <c r="H2088" s="71" t="s">
        <v>2581</v>
      </c>
      <c r="I2088" s="71" t="s">
        <v>1440</v>
      </c>
      <c r="J2088" s="71" t="s">
        <v>2460</v>
      </c>
    </row>
    <row r="2089" spans="1:10" ht="43.5" x14ac:dyDescent="0.35">
      <c r="A2089" s="195">
        <v>15</v>
      </c>
      <c r="B2089" s="195">
        <v>35</v>
      </c>
      <c r="C2089" s="195" t="s">
        <v>2612</v>
      </c>
      <c r="D2089" s="64">
        <v>280</v>
      </c>
      <c r="E2089" s="195" t="s">
        <v>373</v>
      </c>
      <c r="F2089" s="71" t="s">
        <v>2510</v>
      </c>
      <c r="G2089" s="71" t="s">
        <v>2512</v>
      </c>
      <c r="H2089" s="71" t="s">
        <v>2581</v>
      </c>
      <c r="I2089" s="71" t="s">
        <v>1440</v>
      </c>
      <c r="J2089" s="71" t="s">
        <v>2460</v>
      </c>
    </row>
    <row r="2090" spans="1:10" ht="43.5" x14ac:dyDescent="0.35">
      <c r="A2090" s="195">
        <v>15</v>
      </c>
      <c r="B2090" s="195">
        <v>35</v>
      </c>
      <c r="C2090" s="195" t="s">
        <v>2611</v>
      </c>
      <c r="D2090" s="64">
        <v>9735</v>
      </c>
      <c r="E2090" s="195" t="s">
        <v>373</v>
      </c>
      <c r="F2090" s="71" t="s">
        <v>508</v>
      </c>
      <c r="G2090" s="71" t="s">
        <v>2512</v>
      </c>
      <c r="H2090" s="71" t="s">
        <v>2469</v>
      </c>
      <c r="I2090" s="71" t="s">
        <v>397</v>
      </c>
      <c r="J2090" s="71" t="s">
        <v>2460</v>
      </c>
    </row>
    <row r="2091" spans="1:10" ht="43.5" x14ac:dyDescent="0.35">
      <c r="A2091" s="195">
        <v>15</v>
      </c>
      <c r="B2091" s="195">
        <v>36</v>
      </c>
      <c r="C2091" s="195" t="s">
        <v>2613</v>
      </c>
      <c r="D2091" s="64">
        <v>4480</v>
      </c>
      <c r="E2091" s="195" t="s">
        <v>373</v>
      </c>
      <c r="F2091" s="71" t="s">
        <v>2508</v>
      </c>
      <c r="G2091" s="71" t="s">
        <v>2512</v>
      </c>
      <c r="H2091" s="71" t="s">
        <v>2581</v>
      </c>
      <c r="I2091" s="71" t="s">
        <v>1440</v>
      </c>
      <c r="J2091" s="71" t="s">
        <v>2463</v>
      </c>
    </row>
    <row r="2092" spans="1:10" ht="43.5" x14ac:dyDescent="0.35">
      <c r="A2092" s="195">
        <v>15</v>
      </c>
      <c r="B2092" s="195">
        <v>36</v>
      </c>
      <c r="C2092" s="195" t="s">
        <v>2614</v>
      </c>
      <c r="D2092" s="64">
        <v>2835</v>
      </c>
      <c r="E2092" s="195" t="s">
        <v>373</v>
      </c>
      <c r="F2092" s="71" t="s">
        <v>2510</v>
      </c>
      <c r="G2092" s="71" t="s">
        <v>2512</v>
      </c>
      <c r="H2092" s="71" t="s">
        <v>2581</v>
      </c>
      <c r="I2092" s="71" t="s">
        <v>1440</v>
      </c>
      <c r="J2092" s="71" t="s">
        <v>2463</v>
      </c>
    </row>
    <row r="2093" spans="1:10" ht="43.5" x14ac:dyDescent="0.35">
      <c r="A2093" s="195">
        <v>15</v>
      </c>
      <c r="B2093" s="195">
        <v>36</v>
      </c>
      <c r="C2093" s="195" t="s">
        <v>2615</v>
      </c>
      <c r="D2093" s="64">
        <v>15275</v>
      </c>
      <c r="E2093" s="195" t="s">
        <v>373</v>
      </c>
      <c r="F2093" s="71" t="s">
        <v>508</v>
      </c>
      <c r="G2093" s="71" t="s">
        <v>2512</v>
      </c>
      <c r="H2093" s="71" t="s">
        <v>2469</v>
      </c>
      <c r="I2093" s="71" t="s">
        <v>397</v>
      </c>
      <c r="J2093" s="71" t="s">
        <v>2463</v>
      </c>
    </row>
    <row r="2094" spans="1:10" ht="43.5" x14ac:dyDescent="0.35">
      <c r="A2094" s="195">
        <v>15</v>
      </c>
      <c r="B2094" s="195">
        <v>37</v>
      </c>
      <c r="C2094" s="195" t="s">
        <v>2616</v>
      </c>
      <c r="D2094" s="64">
        <v>9450</v>
      </c>
      <c r="E2094" s="195" t="s">
        <v>373</v>
      </c>
      <c r="F2094" s="71" t="s">
        <v>2508</v>
      </c>
      <c r="G2094" s="71" t="s">
        <v>2512</v>
      </c>
      <c r="H2094" s="71" t="s">
        <v>2581</v>
      </c>
      <c r="I2094" s="71" t="s">
        <v>1440</v>
      </c>
      <c r="J2094" s="71" t="s">
        <v>2466</v>
      </c>
    </row>
    <row r="2095" spans="1:10" ht="43.5" x14ac:dyDescent="0.35">
      <c r="A2095" s="195">
        <v>15</v>
      </c>
      <c r="B2095" s="195">
        <v>37</v>
      </c>
      <c r="C2095" s="195" t="s">
        <v>2618</v>
      </c>
      <c r="D2095" s="64">
        <v>4910</v>
      </c>
      <c r="E2095" s="195" t="s">
        <v>373</v>
      </c>
      <c r="F2095" s="71" t="s">
        <v>2510</v>
      </c>
      <c r="G2095" s="71" t="s">
        <v>2512</v>
      </c>
      <c r="H2095" s="71" t="s">
        <v>2581</v>
      </c>
      <c r="I2095" s="71" t="s">
        <v>1440</v>
      </c>
      <c r="J2095" s="71" t="s">
        <v>2466</v>
      </c>
    </row>
    <row r="2096" spans="1:10" ht="43.5" x14ac:dyDescent="0.35">
      <c r="A2096" s="195">
        <v>15</v>
      </c>
      <c r="B2096" s="195">
        <v>37</v>
      </c>
      <c r="C2096" s="195" t="s">
        <v>2617</v>
      </c>
      <c r="D2096" s="64">
        <v>9920</v>
      </c>
      <c r="E2096" s="195" t="s">
        <v>373</v>
      </c>
      <c r="F2096" s="71" t="s">
        <v>508</v>
      </c>
      <c r="G2096" s="71" t="s">
        <v>2512</v>
      </c>
      <c r="H2096" s="71" t="s">
        <v>2469</v>
      </c>
      <c r="I2096" s="71" t="s">
        <v>397</v>
      </c>
      <c r="J2096" s="71" t="s">
        <v>2466</v>
      </c>
    </row>
    <row r="2097" spans="1:10" ht="43.5" x14ac:dyDescent="0.35">
      <c r="A2097" s="195">
        <v>15</v>
      </c>
      <c r="B2097" s="195">
        <v>38</v>
      </c>
      <c r="C2097" s="195" t="s">
        <v>2619</v>
      </c>
      <c r="D2097" s="64">
        <v>10325</v>
      </c>
      <c r="E2097" s="195" t="s">
        <v>366</v>
      </c>
      <c r="F2097" s="71" t="s">
        <v>2508</v>
      </c>
      <c r="G2097" s="71" t="s">
        <v>2512</v>
      </c>
      <c r="H2097" s="71" t="s">
        <v>2581</v>
      </c>
      <c r="I2097" s="71" t="s">
        <v>1467</v>
      </c>
      <c r="J2097" s="71" t="s">
        <v>2443</v>
      </c>
    </row>
    <row r="2098" spans="1:10" ht="43.5" x14ac:dyDescent="0.35">
      <c r="A2098" s="195">
        <v>15</v>
      </c>
      <c r="B2098" s="195">
        <v>38</v>
      </c>
      <c r="C2098" s="195" t="s">
        <v>2621</v>
      </c>
      <c r="D2098" s="64">
        <v>4055</v>
      </c>
      <c r="E2098" s="195" t="s">
        <v>366</v>
      </c>
      <c r="F2098" s="71" t="s">
        <v>2510</v>
      </c>
      <c r="G2098" s="71" t="s">
        <v>2512</v>
      </c>
      <c r="H2098" s="71" t="s">
        <v>2581</v>
      </c>
      <c r="I2098" s="71" t="s">
        <v>1467</v>
      </c>
      <c r="J2098" s="71" t="s">
        <v>2443</v>
      </c>
    </row>
    <row r="2099" spans="1:10" ht="43.5" x14ac:dyDescent="0.35">
      <c r="A2099" s="195">
        <v>15</v>
      </c>
      <c r="B2099" s="195">
        <v>38</v>
      </c>
      <c r="C2099" s="195" t="s">
        <v>2620</v>
      </c>
      <c r="D2099" s="64">
        <v>10550</v>
      </c>
      <c r="E2099" s="195" t="s">
        <v>366</v>
      </c>
      <c r="F2099" s="71" t="s">
        <v>508</v>
      </c>
      <c r="G2099" s="71" t="s">
        <v>2512</v>
      </c>
      <c r="H2099" s="71" t="s">
        <v>2469</v>
      </c>
      <c r="I2099" s="71" t="s">
        <v>406</v>
      </c>
      <c r="J2099" s="71" t="s">
        <v>2443</v>
      </c>
    </row>
    <row r="2100" spans="1:10" ht="43.5" x14ac:dyDescent="0.35">
      <c r="A2100" s="195">
        <v>15</v>
      </c>
      <c r="B2100" s="195">
        <v>39</v>
      </c>
      <c r="C2100" s="195" t="s">
        <v>2623</v>
      </c>
      <c r="D2100" s="64">
        <v>740</v>
      </c>
      <c r="E2100" s="195" t="s">
        <v>373</v>
      </c>
      <c r="F2100" s="71" t="s">
        <v>2508</v>
      </c>
      <c r="G2100" s="71" t="s">
        <v>2512</v>
      </c>
      <c r="H2100" s="71" t="s">
        <v>2581</v>
      </c>
      <c r="I2100" s="71" t="s">
        <v>1467</v>
      </c>
      <c r="J2100" s="71" t="s">
        <v>2460</v>
      </c>
    </row>
    <row r="2101" spans="1:10" ht="43.5" x14ac:dyDescent="0.35">
      <c r="A2101" s="195">
        <v>15</v>
      </c>
      <c r="B2101" s="195">
        <v>39</v>
      </c>
      <c r="C2101" s="195" t="s">
        <v>2624</v>
      </c>
      <c r="D2101" s="64">
        <v>255</v>
      </c>
      <c r="E2101" s="195" t="s">
        <v>373</v>
      </c>
      <c r="F2101" s="71" t="s">
        <v>2510</v>
      </c>
      <c r="G2101" s="71" t="s">
        <v>2512</v>
      </c>
      <c r="H2101" s="71" t="s">
        <v>2581</v>
      </c>
      <c r="I2101" s="71" t="s">
        <v>1467</v>
      </c>
      <c r="J2101" s="71" t="s">
        <v>2460</v>
      </c>
    </row>
    <row r="2102" spans="1:10" ht="43.5" x14ac:dyDescent="0.35">
      <c r="A2102" s="195">
        <v>15</v>
      </c>
      <c r="B2102" s="195">
        <v>39</v>
      </c>
      <c r="C2102" s="195" t="s">
        <v>2622</v>
      </c>
      <c r="D2102" s="195">
        <v>2640</v>
      </c>
      <c r="E2102" s="195" t="s">
        <v>373</v>
      </c>
      <c r="F2102" s="71" t="s">
        <v>508</v>
      </c>
      <c r="G2102" s="71" t="s">
        <v>2512</v>
      </c>
      <c r="H2102" s="71" t="s">
        <v>2469</v>
      </c>
      <c r="I2102" s="71" t="s">
        <v>406</v>
      </c>
      <c r="J2102" s="71" t="s">
        <v>2460</v>
      </c>
    </row>
    <row r="2103" spans="1:10" ht="43.5" x14ac:dyDescent="0.35">
      <c r="A2103" s="195">
        <v>15</v>
      </c>
      <c r="B2103" s="195">
        <v>40</v>
      </c>
      <c r="C2103" s="195" t="s">
        <v>2626</v>
      </c>
      <c r="D2103" s="64">
        <v>2815</v>
      </c>
      <c r="E2103" s="195" t="s">
        <v>373</v>
      </c>
      <c r="F2103" s="71" t="s">
        <v>2508</v>
      </c>
      <c r="G2103" s="71" t="s">
        <v>2512</v>
      </c>
      <c r="H2103" s="71" t="s">
        <v>2581</v>
      </c>
      <c r="I2103" s="71" t="s">
        <v>1467</v>
      </c>
      <c r="J2103" s="71" t="s">
        <v>2463</v>
      </c>
    </row>
    <row r="2104" spans="1:10" ht="43.5" x14ac:dyDescent="0.35">
      <c r="A2104" s="195">
        <v>15</v>
      </c>
      <c r="B2104" s="195">
        <v>40</v>
      </c>
      <c r="C2104" s="195" t="s">
        <v>2625</v>
      </c>
      <c r="D2104" s="64">
        <v>1185</v>
      </c>
      <c r="E2104" s="195" t="s">
        <v>373</v>
      </c>
      <c r="F2104" s="71" t="s">
        <v>2510</v>
      </c>
      <c r="G2104" s="71" t="s">
        <v>2512</v>
      </c>
      <c r="H2104" s="71" t="s">
        <v>2581</v>
      </c>
      <c r="I2104" s="71" t="s">
        <v>1467</v>
      </c>
      <c r="J2104" s="71" t="s">
        <v>2463</v>
      </c>
    </row>
    <row r="2105" spans="1:10" ht="43.5" x14ac:dyDescent="0.35">
      <c r="A2105" s="195">
        <v>15</v>
      </c>
      <c r="B2105" s="195">
        <v>40</v>
      </c>
      <c r="C2105" s="195" t="s">
        <v>2627</v>
      </c>
      <c r="D2105" s="64">
        <v>4570</v>
      </c>
      <c r="E2105" s="195" t="s">
        <v>373</v>
      </c>
      <c r="F2105" s="71" t="s">
        <v>508</v>
      </c>
      <c r="G2105" s="71" t="s">
        <v>2512</v>
      </c>
      <c r="H2105" s="71" t="s">
        <v>2469</v>
      </c>
      <c r="I2105" s="71" t="s">
        <v>406</v>
      </c>
      <c r="J2105" s="71" t="s">
        <v>2463</v>
      </c>
    </row>
    <row r="2106" spans="1:10" ht="43.5" x14ac:dyDescent="0.35">
      <c r="A2106" s="195">
        <v>15</v>
      </c>
      <c r="B2106" s="195">
        <v>41</v>
      </c>
      <c r="C2106" s="195" t="s">
        <v>2628</v>
      </c>
      <c r="D2106" s="64">
        <v>6765</v>
      </c>
      <c r="E2106" s="195" t="s">
        <v>373</v>
      </c>
      <c r="F2106" s="71" t="s">
        <v>2508</v>
      </c>
      <c r="G2106" s="71" t="s">
        <v>2512</v>
      </c>
      <c r="H2106" s="71" t="s">
        <v>2581</v>
      </c>
      <c r="I2106" s="71" t="s">
        <v>1467</v>
      </c>
      <c r="J2106" s="71" t="s">
        <v>2466</v>
      </c>
    </row>
    <row r="2107" spans="1:10" ht="43.5" x14ac:dyDescent="0.35">
      <c r="A2107" s="195">
        <v>15</v>
      </c>
      <c r="B2107" s="195">
        <v>41</v>
      </c>
      <c r="C2107" s="195" t="s">
        <v>2629</v>
      </c>
      <c r="D2107" s="64">
        <v>2615</v>
      </c>
      <c r="E2107" s="195" t="s">
        <v>373</v>
      </c>
      <c r="F2107" s="71" t="s">
        <v>2510</v>
      </c>
      <c r="G2107" s="71" t="s">
        <v>2512</v>
      </c>
      <c r="H2107" s="71" t="s">
        <v>2581</v>
      </c>
      <c r="I2107" s="71" t="s">
        <v>1467</v>
      </c>
      <c r="J2107" s="71" t="s">
        <v>2466</v>
      </c>
    </row>
    <row r="2108" spans="1:10" ht="43.5" x14ac:dyDescent="0.35">
      <c r="A2108" s="195">
        <v>15</v>
      </c>
      <c r="B2108" s="195">
        <v>41</v>
      </c>
      <c r="C2108" s="195" t="s">
        <v>2630</v>
      </c>
      <c r="D2108" s="64">
        <v>3340</v>
      </c>
      <c r="E2108" s="195" t="s">
        <v>373</v>
      </c>
      <c r="F2108" s="71" t="s">
        <v>508</v>
      </c>
      <c r="G2108" s="71" t="s">
        <v>2512</v>
      </c>
      <c r="H2108" s="71" t="s">
        <v>2469</v>
      </c>
      <c r="I2108" s="71" t="s">
        <v>406</v>
      </c>
      <c r="J2108" s="71" t="s">
        <v>2466</v>
      </c>
    </row>
    <row r="2109" spans="1:10" ht="43.5" x14ac:dyDescent="0.35">
      <c r="A2109" s="195">
        <v>15</v>
      </c>
      <c r="B2109" s="195">
        <v>42</v>
      </c>
      <c r="C2109" s="195" t="s">
        <v>2631</v>
      </c>
      <c r="D2109" s="64">
        <v>40455</v>
      </c>
      <c r="E2109" s="195" t="s">
        <v>366</v>
      </c>
      <c r="F2109" s="71" t="s">
        <v>2508</v>
      </c>
      <c r="G2109" s="71" t="s">
        <v>2512</v>
      </c>
      <c r="H2109" s="71" t="s">
        <v>2581</v>
      </c>
      <c r="I2109" s="71" t="s">
        <v>1494</v>
      </c>
      <c r="J2109" s="71" t="s">
        <v>2443</v>
      </c>
    </row>
    <row r="2110" spans="1:10" ht="43.5" x14ac:dyDescent="0.35">
      <c r="A2110" s="195">
        <v>15</v>
      </c>
      <c r="B2110" s="195">
        <v>42</v>
      </c>
      <c r="C2110" s="195" t="s">
        <v>2632</v>
      </c>
      <c r="D2110" s="64">
        <v>11890</v>
      </c>
      <c r="E2110" s="195" t="s">
        <v>366</v>
      </c>
      <c r="F2110" s="71" t="s">
        <v>2510</v>
      </c>
      <c r="G2110" s="71" t="s">
        <v>2512</v>
      </c>
      <c r="H2110" s="71" t="s">
        <v>2581</v>
      </c>
      <c r="I2110" s="71" t="s">
        <v>1494</v>
      </c>
      <c r="J2110" s="71" t="s">
        <v>2443</v>
      </c>
    </row>
    <row r="2111" spans="1:10" ht="29" x14ac:dyDescent="0.35">
      <c r="A2111" s="195">
        <v>15</v>
      </c>
      <c r="B2111" s="195">
        <v>42</v>
      </c>
      <c r="C2111" s="195" t="s">
        <v>2633</v>
      </c>
      <c r="D2111" s="64">
        <v>15200</v>
      </c>
      <c r="E2111" s="195" t="s">
        <v>366</v>
      </c>
      <c r="F2111" s="71" t="s">
        <v>508</v>
      </c>
      <c r="G2111" s="71" t="s">
        <v>2512</v>
      </c>
      <c r="H2111" s="71" t="s">
        <v>2469</v>
      </c>
      <c r="I2111" s="71" t="s">
        <v>415</v>
      </c>
      <c r="J2111" s="71" t="s">
        <v>2443</v>
      </c>
    </row>
    <row r="2112" spans="1:10" ht="43.5" x14ac:dyDescent="0.35">
      <c r="A2112" s="195">
        <v>15</v>
      </c>
      <c r="B2112" s="195">
        <v>43</v>
      </c>
      <c r="C2112" s="195" t="s">
        <v>2634</v>
      </c>
      <c r="D2112" s="64">
        <v>2725</v>
      </c>
      <c r="E2112" s="195" t="s">
        <v>373</v>
      </c>
      <c r="F2112" s="71" t="s">
        <v>2508</v>
      </c>
      <c r="G2112" s="71" t="s">
        <v>2512</v>
      </c>
      <c r="H2112" s="71" t="s">
        <v>2581</v>
      </c>
      <c r="I2112" s="71" t="s">
        <v>1494</v>
      </c>
      <c r="J2112" s="71" t="s">
        <v>2460</v>
      </c>
    </row>
    <row r="2113" spans="1:10" ht="43.5" x14ac:dyDescent="0.35">
      <c r="A2113" s="195">
        <v>15</v>
      </c>
      <c r="B2113" s="195">
        <v>43</v>
      </c>
      <c r="C2113" s="195" t="s">
        <v>2636</v>
      </c>
      <c r="D2113" s="64">
        <v>735</v>
      </c>
      <c r="E2113" s="195" t="s">
        <v>373</v>
      </c>
      <c r="F2113" s="71" t="s">
        <v>2510</v>
      </c>
      <c r="G2113" s="71" t="s">
        <v>2512</v>
      </c>
      <c r="H2113" s="71" t="s">
        <v>2581</v>
      </c>
      <c r="I2113" s="71" t="s">
        <v>1494</v>
      </c>
      <c r="J2113" s="71" t="s">
        <v>2460</v>
      </c>
    </row>
    <row r="2114" spans="1:10" ht="29" x14ac:dyDescent="0.35">
      <c r="A2114" s="195">
        <v>15</v>
      </c>
      <c r="B2114" s="195">
        <v>43</v>
      </c>
      <c r="C2114" s="195" t="s">
        <v>2635</v>
      </c>
      <c r="D2114" s="64">
        <v>2965</v>
      </c>
      <c r="E2114" s="195" t="s">
        <v>373</v>
      </c>
      <c r="F2114" s="71" t="s">
        <v>508</v>
      </c>
      <c r="G2114" s="71" t="s">
        <v>2512</v>
      </c>
      <c r="H2114" s="71" t="s">
        <v>2469</v>
      </c>
      <c r="I2114" s="71" t="s">
        <v>415</v>
      </c>
      <c r="J2114" s="71" t="s">
        <v>2460</v>
      </c>
    </row>
    <row r="2115" spans="1:10" ht="43.5" x14ac:dyDescent="0.35">
      <c r="A2115" s="195">
        <v>15</v>
      </c>
      <c r="B2115" s="195">
        <v>44</v>
      </c>
      <c r="C2115" s="195" t="s">
        <v>2637</v>
      </c>
      <c r="D2115" s="64">
        <v>10725</v>
      </c>
      <c r="E2115" s="195" t="s">
        <v>373</v>
      </c>
      <c r="F2115" s="71" t="s">
        <v>2508</v>
      </c>
      <c r="G2115" s="71" t="s">
        <v>2512</v>
      </c>
      <c r="H2115" s="71" t="s">
        <v>2581</v>
      </c>
      <c r="I2115" s="71" t="s">
        <v>1494</v>
      </c>
      <c r="J2115" s="71" t="s">
        <v>2463</v>
      </c>
    </row>
    <row r="2116" spans="1:10" ht="43.5" x14ac:dyDescent="0.35">
      <c r="A2116" s="195">
        <v>15</v>
      </c>
      <c r="B2116" s="195">
        <v>44</v>
      </c>
      <c r="C2116" s="195" t="s">
        <v>2638</v>
      </c>
      <c r="D2116" s="64">
        <v>3325</v>
      </c>
      <c r="E2116" s="195" t="s">
        <v>373</v>
      </c>
      <c r="F2116" s="71" t="s">
        <v>2510</v>
      </c>
      <c r="G2116" s="71" t="s">
        <v>2512</v>
      </c>
      <c r="H2116" s="71" t="s">
        <v>2581</v>
      </c>
      <c r="I2116" s="71" t="s">
        <v>1494</v>
      </c>
      <c r="J2116" s="71" t="s">
        <v>2463</v>
      </c>
    </row>
    <row r="2117" spans="1:10" ht="29" x14ac:dyDescent="0.35">
      <c r="A2117" s="195">
        <v>15</v>
      </c>
      <c r="B2117" s="195">
        <v>44</v>
      </c>
      <c r="C2117" s="195" t="s">
        <v>2639</v>
      </c>
      <c r="D2117" s="64">
        <v>6620</v>
      </c>
      <c r="E2117" s="195" t="s">
        <v>373</v>
      </c>
      <c r="F2117" s="71" t="s">
        <v>508</v>
      </c>
      <c r="G2117" s="71" t="s">
        <v>2512</v>
      </c>
      <c r="H2117" s="71" t="s">
        <v>2469</v>
      </c>
      <c r="I2117" s="71" t="s">
        <v>415</v>
      </c>
      <c r="J2117" s="71" t="s">
        <v>2463</v>
      </c>
    </row>
    <row r="2118" spans="1:10" ht="43.5" x14ac:dyDescent="0.35">
      <c r="A2118" s="195">
        <v>15</v>
      </c>
      <c r="B2118" s="195">
        <v>45</v>
      </c>
      <c r="C2118" s="195" t="s">
        <v>2640</v>
      </c>
      <c r="D2118" s="64">
        <v>27005</v>
      </c>
      <c r="E2118" s="195" t="s">
        <v>373</v>
      </c>
      <c r="F2118" s="71" t="s">
        <v>2508</v>
      </c>
      <c r="G2118" s="71" t="s">
        <v>2512</v>
      </c>
      <c r="H2118" s="71" t="s">
        <v>2581</v>
      </c>
      <c r="I2118" s="71" t="s">
        <v>1494</v>
      </c>
      <c r="J2118" s="71" t="s">
        <v>2466</v>
      </c>
    </row>
    <row r="2119" spans="1:10" ht="43.5" x14ac:dyDescent="0.35">
      <c r="A2119" s="195">
        <v>15</v>
      </c>
      <c r="B2119" s="195">
        <v>45</v>
      </c>
      <c r="C2119" s="195" t="s">
        <v>2642</v>
      </c>
      <c r="D2119" s="64">
        <v>7835</v>
      </c>
      <c r="E2119" s="195" t="s">
        <v>373</v>
      </c>
      <c r="F2119" s="71" t="s">
        <v>2510</v>
      </c>
      <c r="G2119" s="71" t="s">
        <v>2512</v>
      </c>
      <c r="H2119" s="71" t="s">
        <v>2581</v>
      </c>
      <c r="I2119" s="71" t="s">
        <v>1494</v>
      </c>
      <c r="J2119" s="71" t="s">
        <v>2466</v>
      </c>
    </row>
    <row r="2120" spans="1:10" ht="29" x14ac:dyDescent="0.35">
      <c r="A2120" s="195">
        <v>15</v>
      </c>
      <c r="B2120" s="195">
        <v>45</v>
      </c>
      <c r="C2120" s="195" t="s">
        <v>2641</v>
      </c>
      <c r="D2120" s="64">
        <v>5615</v>
      </c>
      <c r="E2120" s="195" t="s">
        <v>373</v>
      </c>
      <c r="F2120" s="71" t="s">
        <v>508</v>
      </c>
      <c r="G2120" s="71" t="s">
        <v>2512</v>
      </c>
      <c r="H2120" s="71" t="s">
        <v>2469</v>
      </c>
      <c r="I2120" s="71" t="s">
        <v>415</v>
      </c>
      <c r="J2120" s="71" t="s">
        <v>2466</v>
      </c>
    </row>
    <row r="2121" spans="1:10" ht="29" x14ac:dyDescent="0.35">
      <c r="A2121" s="195">
        <v>15</v>
      </c>
      <c r="B2121" s="195">
        <v>46</v>
      </c>
      <c r="C2121" s="195" t="s">
        <v>2646</v>
      </c>
      <c r="D2121" s="64">
        <v>37200</v>
      </c>
      <c r="E2121" s="195" t="s">
        <v>366</v>
      </c>
      <c r="F2121" s="71" t="s">
        <v>2508</v>
      </c>
      <c r="G2121" s="71" t="s">
        <v>2512</v>
      </c>
      <c r="H2121" s="71" t="s">
        <v>2645</v>
      </c>
      <c r="I2121" s="71" t="s">
        <v>363</v>
      </c>
      <c r="J2121" s="71" t="s">
        <v>2443</v>
      </c>
    </row>
    <row r="2122" spans="1:10" ht="29" x14ac:dyDescent="0.35">
      <c r="A2122" s="195">
        <v>15</v>
      </c>
      <c r="B2122" s="195">
        <v>46</v>
      </c>
      <c r="C2122" s="195" t="s">
        <v>2644</v>
      </c>
      <c r="D2122" s="64">
        <v>15475</v>
      </c>
      <c r="E2122" s="195" t="s">
        <v>366</v>
      </c>
      <c r="F2122" s="71" t="s">
        <v>2510</v>
      </c>
      <c r="G2122" s="71" t="s">
        <v>2512</v>
      </c>
      <c r="H2122" s="71" t="s">
        <v>2645</v>
      </c>
      <c r="I2122" s="71" t="s">
        <v>363</v>
      </c>
      <c r="J2122" s="71" t="s">
        <v>2443</v>
      </c>
    </row>
    <row r="2123" spans="1:10" ht="29" x14ac:dyDescent="0.35">
      <c r="A2123" s="195">
        <v>15</v>
      </c>
      <c r="B2123" s="195">
        <v>46</v>
      </c>
      <c r="C2123" s="195" t="s">
        <v>2643</v>
      </c>
      <c r="D2123" s="64">
        <v>213495</v>
      </c>
      <c r="E2123" s="195" t="s">
        <v>366</v>
      </c>
      <c r="F2123" s="71" t="s">
        <v>508</v>
      </c>
      <c r="G2123" s="71" t="s">
        <v>2512</v>
      </c>
      <c r="H2123" s="71" t="s">
        <v>2479</v>
      </c>
      <c r="I2123" s="71" t="s">
        <v>363</v>
      </c>
      <c r="J2123" s="71" t="s">
        <v>2443</v>
      </c>
    </row>
    <row r="2124" spans="1:10" ht="43.5" x14ac:dyDescent="0.35">
      <c r="A2124" s="195">
        <v>15</v>
      </c>
      <c r="B2124" s="195">
        <v>47</v>
      </c>
      <c r="C2124" s="195" t="s">
        <v>2647</v>
      </c>
      <c r="D2124" s="64">
        <v>1955</v>
      </c>
      <c r="E2124" s="195" t="s">
        <v>366</v>
      </c>
      <c r="F2124" s="71" t="s">
        <v>2508</v>
      </c>
      <c r="G2124" s="71" t="s">
        <v>2512</v>
      </c>
      <c r="H2124" s="71" t="s">
        <v>2645</v>
      </c>
      <c r="I2124" s="71" t="s">
        <v>1377</v>
      </c>
      <c r="J2124" s="71" t="s">
        <v>2443</v>
      </c>
    </row>
    <row r="2125" spans="1:10" ht="43.5" x14ac:dyDescent="0.35">
      <c r="A2125" s="195">
        <v>15</v>
      </c>
      <c r="B2125" s="195">
        <v>47</v>
      </c>
      <c r="C2125" s="195" t="s">
        <v>2648</v>
      </c>
      <c r="D2125" s="64">
        <v>2210</v>
      </c>
      <c r="E2125" s="195" t="s">
        <v>366</v>
      </c>
      <c r="F2125" s="71" t="s">
        <v>2510</v>
      </c>
      <c r="G2125" s="71" t="s">
        <v>2512</v>
      </c>
      <c r="H2125" s="71" t="s">
        <v>2645</v>
      </c>
      <c r="I2125" s="71" t="s">
        <v>1377</v>
      </c>
      <c r="J2125" s="71" t="s">
        <v>2443</v>
      </c>
    </row>
    <row r="2126" spans="1:10" ht="29" x14ac:dyDescent="0.35">
      <c r="A2126" s="195">
        <v>15</v>
      </c>
      <c r="B2126" s="195">
        <v>47</v>
      </c>
      <c r="C2126" s="195" t="s">
        <v>2649</v>
      </c>
      <c r="D2126" s="64">
        <v>54885</v>
      </c>
      <c r="E2126" s="195" t="s">
        <v>366</v>
      </c>
      <c r="F2126" s="71" t="s">
        <v>508</v>
      </c>
      <c r="G2126" s="71" t="s">
        <v>2512</v>
      </c>
      <c r="H2126" s="71" t="s">
        <v>2479</v>
      </c>
      <c r="I2126" s="71" t="s">
        <v>371</v>
      </c>
      <c r="J2126" s="71" t="s">
        <v>2443</v>
      </c>
    </row>
    <row r="2127" spans="1:10" ht="43.5" x14ac:dyDescent="0.35">
      <c r="A2127" s="195">
        <v>15</v>
      </c>
      <c r="B2127" s="195">
        <v>48</v>
      </c>
      <c r="C2127" s="195" t="s">
        <v>2650</v>
      </c>
      <c r="D2127" s="195">
        <v>420</v>
      </c>
      <c r="E2127" s="195" t="s">
        <v>373</v>
      </c>
      <c r="F2127" s="71" t="s">
        <v>2508</v>
      </c>
      <c r="G2127" s="71" t="s">
        <v>2512</v>
      </c>
      <c r="H2127" s="71" t="s">
        <v>2645</v>
      </c>
      <c r="I2127" s="71" t="s">
        <v>1377</v>
      </c>
      <c r="J2127" s="71" t="s">
        <v>2460</v>
      </c>
    </row>
    <row r="2128" spans="1:10" ht="43.5" x14ac:dyDescent="0.35">
      <c r="A2128" s="195">
        <v>15</v>
      </c>
      <c r="B2128" s="195">
        <v>48</v>
      </c>
      <c r="C2128" s="195" t="s">
        <v>2651</v>
      </c>
      <c r="D2128" s="64">
        <v>345</v>
      </c>
      <c r="E2128" s="195" t="s">
        <v>373</v>
      </c>
      <c r="F2128" s="71" t="s">
        <v>2510</v>
      </c>
      <c r="G2128" s="71" t="s">
        <v>2512</v>
      </c>
      <c r="H2128" s="71" t="s">
        <v>2645</v>
      </c>
      <c r="I2128" s="71" t="s">
        <v>1377</v>
      </c>
      <c r="J2128" s="71" t="s">
        <v>2460</v>
      </c>
    </row>
    <row r="2129" spans="1:10" ht="29" x14ac:dyDescent="0.35">
      <c r="A2129" s="195">
        <v>15</v>
      </c>
      <c r="B2129" s="195">
        <v>48</v>
      </c>
      <c r="C2129" s="195" t="s">
        <v>2652</v>
      </c>
      <c r="D2129" s="195">
        <v>22345</v>
      </c>
      <c r="E2129" s="195" t="s">
        <v>373</v>
      </c>
      <c r="F2129" s="71" t="s">
        <v>508</v>
      </c>
      <c r="G2129" s="71" t="s">
        <v>2512</v>
      </c>
      <c r="H2129" s="71" t="s">
        <v>2479</v>
      </c>
      <c r="I2129" s="71" t="s">
        <v>371</v>
      </c>
      <c r="J2129" s="71" t="s">
        <v>2460</v>
      </c>
    </row>
    <row r="2130" spans="1:10" ht="43.5" x14ac:dyDescent="0.35">
      <c r="A2130" s="195">
        <v>15</v>
      </c>
      <c r="B2130" s="195">
        <v>49</v>
      </c>
      <c r="C2130" s="195" t="s">
        <v>2654</v>
      </c>
      <c r="D2130" s="195">
        <v>575</v>
      </c>
      <c r="E2130" s="195" t="s">
        <v>373</v>
      </c>
      <c r="F2130" s="71" t="s">
        <v>2508</v>
      </c>
      <c r="G2130" s="71" t="s">
        <v>2512</v>
      </c>
      <c r="H2130" s="71" t="s">
        <v>2645</v>
      </c>
      <c r="I2130" s="71" t="s">
        <v>1377</v>
      </c>
      <c r="J2130" s="71" t="s">
        <v>2463</v>
      </c>
    </row>
    <row r="2131" spans="1:10" ht="43.5" x14ac:dyDescent="0.35">
      <c r="A2131" s="195">
        <v>15</v>
      </c>
      <c r="B2131" s="195">
        <v>49</v>
      </c>
      <c r="C2131" s="195" t="s">
        <v>2655</v>
      </c>
      <c r="D2131" s="64">
        <v>735</v>
      </c>
      <c r="E2131" s="195" t="s">
        <v>373</v>
      </c>
      <c r="F2131" s="71" t="s">
        <v>2510</v>
      </c>
      <c r="G2131" s="71" t="s">
        <v>2512</v>
      </c>
      <c r="H2131" s="71" t="s">
        <v>2645</v>
      </c>
      <c r="I2131" s="71" t="s">
        <v>1377</v>
      </c>
      <c r="J2131" s="71" t="s">
        <v>2463</v>
      </c>
    </row>
    <row r="2132" spans="1:10" ht="29" x14ac:dyDescent="0.35">
      <c r="A2132" s="195">
        <v>15</v>
      </c>
      <c r="B2132" s="195">
        <v>49</v>
      </c>
      <c r="C2132" s="195" t="s">
        <v>2653</v>
      </c>
      <c r="D2132" s="64">
        <v>18335</v>
      </c>
      <c r="E2132" s="195" t="s">
        <v>373</v>
      </c>
      <c r="F2132" s="71" t="s">
        <v>508</v>
      </c>
      <c r="G2132" s="71" t="s">
        <v>2512</v>
      </c>
      <c r="H2132" s="71" t="s">
        <v>2479</v>
      </c>
      <c r="I2132" s="71" t="s">
        <v>371</v>
      </c>
      <c r="J2132" s="71" t="s">
        <v>2463</v>
      </c>
    </row>
    <row r="2133" spans="1:10" ht="43.5" x14ac:dyDescent="0.35">
      <c r="A2133" s="195">
        <v>15</v>
      </c>
      <c r="B2133" s="195">
        <v>50</v>
      </c>
      <c r="C2133" s="195" t="s">
        <v>2658</v>
      </c>
      <c r="D2133" s="64">
        <v>955</v>
      </c>
      <c r="E2133" s="195" t="s">
        <v>373</v>
      </c>
      <c r="F2133" s="71" t="s">
        <v>2508</v>
      </c>
      <c r="G2133" s="71" t="s">
        <v>2512</v>
      </c>
      <c r="H2133" s="71" t="s">
        <v>2645</v>
      </c>
      <c r="I2133" s="71" t="s">
        <v>1377</v>
      </c>
      <c r="J2133" s="71" t="s">
        <v>2466</v>
      </c>
    </row>
    <row r="2134" spans="1:10" ht="43.5" x14ac:dyDescent="0.35">
      <c r="A2134" s="195">
        <v>15</v>
      </c>
      <c r="B2134" s="195">
        <v>50</v>
      </c>
      <c r="C2134" s="195" t="s">
        <v>2656</v>
      </c>
      <c r="D2134" s="64">
        <v>1130</v>
      </c>
      <c r="E2134" s="195" t="s">
        <v>373</v>
      </c>
      <c r="F2134" s="71" t="s">
        <v>2510</v>
      </c>
      <c r="G2134" s="71" t="s">
        <v>2512</v>
      </c>
      <c r="H2134" s="71" t="s">
        <v>2645</v>
      </c>
      <c r="I2134" s="71" t="s">
        <v>1377</v>
      </c>
      <c r="J2134" s="71" t="s">
        <v>2466</v>
      </c>
    </row>
    <row r="2135" spans="1:10" ht="29" x14ac:dyDescent="0.35">
      <c r="A2135" s="195">
        <v>15</v>
      </c>
      <c r="B2135" s="195">
        <v>50</v>
      </c>
      <c r="C2135" s="195" t="s">
        <v>2657</v>
      </c>
      <c r="D2135" s="64">
        <v>14210</v>
      </c>
      <c r="E2135" s="195" t="s">
        <v>373</v>
      </c>
      <c r="F2135" s="71" t="s">
        <v>508</v>
      </c>
      <c r="G2135" s="71" t="s">
        <v>2512</v>
      </c>
      <c r="H2135" s="71" t="s">
        <v>2479</v>
      </c>
      <c r="I2135" s="71" t="s">
        <v>371</v>
      </c>
      <c r="J2135" s="71" t="s">
        <v>2466</v>
      </c>
    </row>
    <row r="2136" spans="1:10" ht="43.5" x14ac:dyDescent="0.35">
      <c r="A2136" s="195">
        <v>15</v>
      </c>
      <c r="B2136" s="195">
        <v>51</v>
      </c>
      <c r="C2136" s="195" t="s">
        <v>2660</v>
      </c>
      <c r="D2136" s="64">
        <v>2695</v>
      </c>
      <c r="E2136" s="195" t="s">
        <v>366</v>
      </c>
      <c r="F2136" s="71" t="s">
        <v>2508</v>
      </c>
      <c r="G2136" s="71" t="s">
        <v>2512</v>
      </c>
      <c r="H2136" s="71" t="s">
        <v>2645</v>
      </c>
      <c r="I2136" s="71" t="s">
        <v>1413</v>
      </c>
      <c r="J2136" s="71" t="s">
        <v>2443</v>
      </c>
    </row>
    <row r="2137" spans="1:10" ht="43.5" x14ac:dyDescent="0.35">
      <c r="A2137" s="195">
        <v>15</v>
      </c>
      <c r="B2137" s="195">
        <v>51</v>
      </c>
      <c r="C2137" s="195" t="s">
        <v>2661</v>
      </c>
      <c r="D2137" s="64">
        <v>2180</v>
      </c>
      <c r="E2137" s="195" t="s">
        <v>366</v>
      </c>
      <c r="F2137" s="71" t="s">
        <v>2510</v>
      </c>
      <c r="G2137" s="71" t="s">
        <v>2512</v>
      </c>
      <c r="H2137" s="71" t="s">
        <v>2645</v>
      </c>
      <c r="I2137" s="71" t="s">
        <v>1413</v>
      </c>
      <c r="J2137" s="71" t="s">
        <v>2443</v>
      </c>
    </row>
    <row r="2138" spans="1:10" ht="43.5" x14ac:dyDescent="0.35">
      <c r="A2138" s="195">
        <v>15</v>
      </c>
      <c r="B2138" s="195">
        <v>51</v>
      </c>
      <c r="C2138" s="195" t="s">
        <v>2659</v>
      </c>
      <c r="D2138" s="64">
        <v>37495</v>
      </c>
      <c r="E2138" s="195" t="s">
        <v>366</v>
      </c>
      <c r="F2138" s="71" t="s">
        <v>508</v>
      </c>
      <c r="G2138" s="71" t="s">
        <v>2512</v>
      </c>
      <c r="H2138" s="71" t="s">
        <v>2479</v>
      </c>
      <c r="I2138" s="71" t="s">
        <v>388</v>
      </c>
      <c r="J2138" s="71" t="s">
        <v>2443</v>
      </c>
    </row>
    <row r="2139" spans="1:10" ht="43.5" x14ac:dyDescent="0.35">
      <c r="A2139" s="195">
        <v>15</v>
      </c>
      <c r="B2139" s="195">
        <v>52</v>
      </c>
      <c r="C2139" s="195" t="s">
        <v>2664</v>
      </c>
      <c r="D2139" s="195">
        <v>240</v>
      </c>
      <c r="E2139" s="195" t="s">
        <v>373</v>
      </c>
      <c r="F2139" s="71" t="s">
        <v>2508</v>
      </c>
      <c r="G2139" s="71" t="s">
        <v>2512</v>
      </c>
      <c r="H2139" s="71" t="s">
        <v>2645</v>
      </c>
      <c r="I2139" s="71" t="s">
        <v>1413</v>
      </c>
      <c r="J2139" s="71" t="s">
        <v>2460</v>
      </c>
    </row>
    <row r="2140" spans="1:10" ht="43.5" x14ac:dyDescent="0.35">
      <c r="A2140" s="195">
        <v>15</v>
      </c>
      <c r="B2140" s="195">
        <v>52</v>
      </c>
      <c r="C2140" s="195" t="s">
        <v>2662</v>
      </c>
      <c r="D2140" s="64">
        <v>180</v>
      </c>
      <c r="E2140" s="195" t="s">
        <v>373</v>
      </c>
      <c r="F2140" s="71" t="s">
        <v>2510</v>
      </c>
      <c r="G2140" s="71" t="s">
        <v>2512</v>
      </c>
      <c r="H2140" s="71" t="s">
        <v>2645</v>
      </c>
      <c r="I2140" s="71" t="s">
        <v>1413</v>
      </c>
      <c r="J2140" s="71" t="s">
        <v>2460</v>
      </c>
    </row>
    <row r="2141" spans="1:10" ht="43.5" x14ac:dyDescent="0.35">
      <c r="A2141" s="195">
        <v>15</v>
      </c>
      <c r="B2141" s="195">
        <v>52</v>
      </c>
      <c r="C2141" s="195" t="s">
        <v>2663</v>
      </c>
      <c r="D2141" s="195">
        <v>14320</v>
      </c>
      <c r="E2141" s="195" t="s">
        <v>373</v>
      </c>
      <c r="F2141" s="71" t="s">
        <v>508</v>
      </c>
      <c r="G2141" s="71" t="s">
        <v>2512</v>
      </c>
      <c r="H2141" s="71" t="s">
        <v>2479</v>
      </c>
      <c r="I2141" s="71" t="s">
        <v>388</v>
      </c>
      <c r="J2141" s="71" t="s">
        <v>2460</v>
      </c>
    </row>
    <row r="2142" spans="1:10" ht="43.5" x14ac:dyDescent="0.35">
      <c r="A2142" s="195">
        <v>15</v>
      </c>
      <c r="B2142" s="195">
        <v>53</v>
      </c>
      <c r="C2142" s="195" t="s">
        <v>2667</v>
      </c>
      <c r="D2142" s="64">
        <v>955</v>
      </c>
      <c r="E2142" s="195" t="s">
        <v>373</v>
      </c>
      <c r="F2142" s="71" t="s">
        <v>2508</v>
      </c>
      <c r="G2142" s="71" t="s">
        <v>2512</v>
      </c>
      <c r="H2142" s="71" t="s">
        <v>2645</v>
      </c>
      <c r="I2142" s="71" t="s">
        <v>1413</v>
      </c>
      <c r="J2142" s="71" t="s">
        <v>2463</v>
      </c>
    </row>
    <row r="2143" spans="1:10" ht="43.5" x14ac:dyDescent="0.35">
      <c r="A2143" s="195">
        <v>15</v>
      </c>
      <c r="B2143" s="195">
        <v>53</v>
      </c>
      <c r="C2143" s="195" t="s">
        <v>2665</v>
      </c>
      <c r="D2143" s="64">
        <v>645</v>
      </c>
      <c r="E2143" s="195" t="s">
        <v>373</v>
      </c>
      <c r="F2143" s="71" t="s">
        <v>2510</v>
      </c>
      <c r="G2143" s="71" t="s">
        <v>2512</v>
      </c>
      <c r="H2143" s="71" t="s">
        <v>2645</v>
      </c>
      <c r="I2143" s="71" t="s">
        <v>1413</v>
      </c>
      <c r="J2143" s="71" t="s">
        <v>2463</v>
      </c>
    </row>
    <row r="2144" spans="1:10" ht="43.5" x14ac:dyDescent="0.35">
      <c r="A2144" s="195">
        <v>15</v>
      </c>
      <c r="B2144" s="195">
        <v>53</v>
      </c>
      <c r="C2144" s="195" t="s">
        <v>2666</v>
      </c>
      <c r="D2144" s="64">
        <v>14105</v>
      </c>
      <c r="E2144" s="195" t="s">
        <v>373</v>
      </c>
      <c r="F2144" s="71" t="s">
        <v>508</v>
      </c>
      <c r="G2144" s="71" t="s">
        <v>2512</v>
      </c>
      <c r="H2144" s="71" t="s">
        <v>2479</v>
      </c>
      <c r="I2144" s="71" t="s">
        <v>388</v>
      </c>
      <c r="J2144" s="71" t="s">
        <v>2463</v>
      </c>
    </row>
    <row r="2145" spans="1:10" ht="43.5" x14ac:dyDescent="0.35">
      <c r="A2145" s="195">
        <v>15</v>
      </c>
      <c r="B2145" s="195">
        <v>54</v>
      </c>
      <c r="C2145" s="195" t="s">
        <v>2669</v>
      </c>
      <c r="D2145" s="64">
        <v>1495</v>
      </c>
      <c r="E2145" s="195" t="s">
        <v>373</v>
      </c>
      <c r="F2145" s="71" t="s">
        <v>2508</v>
      </c>
      <c r="G2145" s="71" t="s">
        <v>2512</v>
      </c>
      <c r="H2145" s="71" t="s">
        <v>2645</v>
      </c>
      <c r="I2145" s="71" t="s">
        <v>1413</v>
      </c>
      <c r="J2145" s="71" t="s">
        <v>2466</v>
      </c>
    </row>
    <row r="2146" spans="1:10" ht="43.5" x14ac:dyDescent="0.35">
      <c r="A2146" s="195">
        <v>15</v>
      </c>
      <c r="B2146" s="195">
        <v>54</v>
      </c>
      <c r="C2146" s="195" t="s">
        <v>2670</v>
      </c>
      <c r="D2146" s="64">
        <v>1355</v>
      </c>
      <c r="E2146" s="195" t="s">
        <v>373</v>
      </c>
      <c r="F2146" s="71" t="s">
        <v>2510</v>
      </c>
      <c r="G2146" s="71" t="s">
        <v>2512</v>
      </c>
      <c r="H2146" s="71" t="s">
        <v>2645</v>
      </c>
      <c r="I2146" s="71" t="s">
        <v>1413</v>
      </c>
      <c r="J2146" s="71" t="s">
        <v>2466</v>
      </c>
    </row>
    <row r="2147" spans="1:10" ht="43.5" x14ac:dyDescent="0.35">
      <c r="A2147" s="195">
        <v>15</v>
      </c>
      <c r="B2147" s="195">
        <v>54</v>
      </c>
      <c r="C2147" s="195" t="s">
        <v>2668</v>
      </c>
      <c r="D2147" s="64">
        <v>9070</v>
      </c>
      <c r="E2147" s="195" t="s">
        <v>373</v>
      </c>
      <c r="F2147" s="71" t="s">
        <v>508</v>
      </c>
      <c r="G2147" s="71" t="s">
        <v>2512</v>
      </c>
      <c r="H2147" s="71" t="s">
        <v>2479</v>
      </c>
      <c r="I2147" s="71" t="s">
        <v>388</v>
      </c>
      <c r="J2147" s="71" t="s">
        <v>2466</v>
      </c>
    </row>
    <row r="2148" spans="1:10" ht="43.5" x14ac:dyDescent="0.35">
      <c r="A2148" s="195">
        <v>15</v>
      </c>
      <c r="B2148" s="195">
        <v>55</v>
      </c>
      <c r="C2148" s="195" t="s">
        <v>2671</v>
      </c>
      <c r="D2148" s="64">
        <v>4660</v>
      </c>
      <c r="E2148" s="195" t="s">
        <v>366</v>
      </c>
      <c r="F2148" s="71" t="s">
        <v>2508</v>
      </c>
      <c r="G2148" s="71" t="s">
        <v>2512</v>
      </c>
      <c r="H2148" s="71" t="s">
        <v>2645</v>
      </c>
      <c r="I2148" s="71" t="s">
        <v>1440</v>
      </c>
      <c r="J2148" s="71" t="s">
        <v>2443</v>
      </c>
    </row>
    <row r="2149" spans="1:10" ht="43.5" x14ac:dyDescent="0.35">
      <c r="A2149" s="195">
        <v>15</v>
      </c>
      <c r="B2149" s="195">
        <v>55</v>
      </c>
      <c r="C2149" s="195" t="s">
        <v>2673</v>
      </c>
      <c r="D2149" s="64">
        <v>2695</v>
      </c>
      <c r="E2149" s="195" t="s">
        <v>366</v>
      </c>
      <c r="F2149" s="71" t="s">
        <v>2510</v>
      </c>
      <c r="G2149" s="71" t="s">
        <v>2512</v>
      </c>
      <c r="H2149" s="71" t="s">
        <v>2645</v>
      </c>
      <c r="I2149" s="71" t="s">
        <v>1440</v>
      </c>
      <c r="J2149" s="71" t="s">
        <v>2443</v>
      </c>
    </row>
    <row r="2150" spans="1:10" ht="43.5" x14ac:dyDescent="0.35">
      <c r="A2150" s="195">
        <v>15</v>
      </c>
      <c r="B2150" s="195">
        <v>55</v>
      </c>
      <c r="C2150" s="195" t="s">
        <v>2672</v>
      </c>
      <c r="D2150" s="64">
        <v>46825</v>
      </c>
      <c r="E2150" s="195" t="s">
        <v>366</v>
      </c>
      <c r="F2150" s="71" t="s">
        <v>508</v>
      </c>
      <c r="G2150" s="71" t="s">
        <v>2512</v>
      </c>
      <c r="H2150" s="71" t="s">
        <v>2479</v>
      </c>
      <c r="I2150" s="71" t="s">
        <v>397</v>
      </c>
      <c r="J2150" s="71" t="s">
        <v>2443</v>
      </c>
    </row>
    <row r="2151" spans="1:10" ht="43.5" x14ac:dyDescent="0.35">
      <c r="A2151" s="195">
        <v>15</v>
      </c>
      <c r="B2151" s="195">
        <v>56</v>
      </c>
      <c r="C2151" s="195" t="s">
        <v>2674</v>
      </c>
      <c r="D2151" s="195">
        <v>540</v>
      </c>
      <c r="E2151" s="195" t="s">
        <v>373</v>
      </c>
      <c r="F2151" s="71" t="s">
        <v>2508</v>
      </c>
      <c r="G2151" s="71" t="s">
        <v>2512</v>
      </c>
      <c r="H2151" s="71" t="s">
        <v>2645</v>
      </c>
      <c r="I2151" s="71" t="s">
        <v>1440</v>
      </c>
      <c r="J2151" s="71" t="s">
        <v>2460</v>
      </c>
    </row>
    <row r="2152" spans="1:10" ht="43.5" x14ac:dyDescent="0.35">
      <c r="A2152" s="195">
        <v>15</v>
      </c>
      <c r="B2152" s="195">
        <v>56</v>
      </c>
      <c r="C2152" s="195" t="s">
        <v>2676</v>
      </c>
      <c r="D2152" s="195">
        <v>270</v>
      </c>
      <c r="E2152" s="195" t="s">
        <v>373</v>
      </c>
      <c r="F2152" s="71" t="s">
        <v>2510</v>
      </c>
      <c r="G2152" s="71" t="s">
        <v>2512</v>
      </c>
      <c r="H2152" s="71" t="s">
        <v>2645</v>
      </c>
      <c r="I2152" s="71" t="s">
        <v>1440</v>
      </c>
      <c r="J2152" s="71" t="s">
        <v>2460</v>
      </c>
    </row>
    <row r="2153" spans="1:10" ht="43.5" x14ac:dyDescent="0.35">
      <c r="A2153" s="195">
        <v>15</v>
      </c>
      <c r="B2153" s="195">
        <v>56</v>
      </c>
      <c r="C2153" s="195" t="s">
        <v>2675</v>
      </c>
      <c r="D2153" s="64">
        <v>20515</v>
      </c>
      <c r="E2153" s="195" t="s">
        <v>373</v>
      </c>
      <c r="F2153" s="71" t="s">
        <v>508</v>
      </c>
      <c r="G2153" s="71" t="s">
        <v>2512</v>
      </c>
      <c r="H2153" s="71" t="s">
        <v>2479</v>
      </c>
      <c r="I2153" s="71" t="s">
        <v>397</v>
      </c>
      <c r="J2153" s="71" t="s">
        <v>2460</v>
      </c>
    </row>
    <row r="2154" spans="1:10" ht="43.5" x14ac:dyDescent="0.35">
      <c r="A2154" s="195">
        <v>15</v>
      </c>
      <c r="B2154" s="195">
        <v>57</v>
      </c>
      <c r="C2154" s="195" t="s">
        <v>2679</v>
      </c>
      <c r="D2154" s="64">
        <v>1530</v>
      </c>
      <c r="E2154" s="195" t="s">
        <v>373</v>
      </c>
      <c r="F2154" s="71" t="s">
        <v>2508</v>
      </c>
      <c r="G2154" s="71" t="s">
        <v>2512</v>
      </c>
      <c r="H2154" s="71" t="s">
        <v>2645</v>
      </c>
      <c r="I2154" s="71" t="s">
        <v>1440</v>
      </c>
      <c r="J2154" s="71" t="s">
        <v>2463</v>
      </c>
    </row>
    <row r="2155" spans="1:10" ht="43.5" x14ac:dyDescent="0.35">
      <c r="A2155" s="195">
        <v>15</v>
      </c>
      <c r="B2155" s="195">
        <v>57</v>
      </c>
      <c r="C2155" s="195" t="s">
        <v>2677</v>
      </c>
      <c r="D2155" s="64">
        <v>1030</v>
      </c>
      <c r="E2155" s="195" t="s">
        <v>373</v>
      </c>
      <c r="F2155" s="71" t="s">
        <v>2510</v>
      </c>
      <c r="G2155" s="71" t="s">
        <v>2512</v>
      </c>
      <c r="H2155" s="71" t="s">
        <v>2645</v>
      </c>
      <c r="I2155" s="71" t="s">
        <v>1440</v>
      </c>
      <c r="J2155" s="71" t="s">
        <v>2463</v>
      </c>
    </row>
    <row r="2156" spans="1:10" ht="43.5" x14ac:dyDescent="0.35">
      <c r="A2156" s="195">
        <v>15</v>
      </c>
      <c r="B2156" s="195">
        <v>57</v>
      </c>
      <c r="C2156" s="195" t="s">
        <v>2678</v>
      </c>
      <c r="D2156" s="64">
        <v>15740</v>
      </c>
      <c r="E2156" s="195" t="s">
        <v>373</v>
      </c>
      <c r="F2156" s="71" t="s">
        <v>508</v>
      </c>
      <c r="G2156" s="71" t="s">
        <v>2512</v>
      </c>
      <c r="H2156" s="71" t="s">
        <v>2479</v>
      </c>
      <c r="I2156" s="71" t="s">
        <v>397</v>
      </c>
      <c r="J2156" s="71" t="s">
        <v>2463</v>
      </c>
    </row>
    <row r="2157" spans="1:10" ht="43.5" x14ac:dyDescent="0.35">
      <c r="A2157" s="195">
        <v>15</v>
      </c>
      <c r="B2157" s="195">
        <v>58</v>
      </c>
      <c r="C2157" s="195" t="s">
        <v>2680</v>
      </c>
      <c r="D2157" s="64">
        <v>2585</v>
      </c>
      <c r="E2157" s="195" t="s">
        <v>373</v>
      </c>
      <c r="F2157" s="71" t="s">
        <v>2508</v>
      </c>
      <c r="G2157" s="71" t="s">
        <v>2512</v>
      </c>
      <c r="H2157" s="71" t="s">
        <v>2645</v>
      </c>
      <c r="I2157" s="71" t="s">
        <v>1440</v>
      </c>
      <c r="J2157" s="71" t="s">
        <v>2466</v>
      </c>
    </row>
    <row r="2158" spans="1:10" ht="43.5" x14ac:dyDescent="0.35">
      <c r="A2158" s="195">
        <v>15</v>
      </c>
      <c r="B2158" s="195">
        <v>58</v>
      </c>
      <c r="C2158" s="195" t="s">
        <v>2682</v>
      </c>
      <c r="D2158" s="64">
        <v>1395</v>
      </c>
      <c r="E2158" s="195" t="s">
        <v>373</v>
      </c>
      <c r="F2158" s="71" t="s">
        <v>2510</v>
      </c>
      <c r="G2158" s="71" t="s">
        <v>2512</v>
      </c>
      <c r="H2158" s="71" t="s">
        <v>2645</v>
      </c>
      <c r="I2158" s="71" t="s">
        <v>1440</v>
      </c>
      <c r="J2158" s="71" t="s">
        <v>2466</v>
      </c>
    </row>
    <row r="2159" spans="1:10" ht="43.5" x14ac:dyDescent="0.35">
      <c r="A2159" s="195">
        <v>15</v>
      </c>
      <c r="B2159" s="195">
        <v>58</v>
      </c>
      <c r="C2159" s="195" t="s">
        <v>2681</v>
      </c>
      <c r="D2159" s="64">
        <v>10565</v>
      </c>
      <c r="E2159" s="195" t="s">
        <v>373</v>
      </c>
      <c r="F2159" s="71" t="s">
        <v>508</v>
      </c>
      <c r="G2159" s="71" t="s">
        <v>2512</v>
      </c>
      <c r="H2159" s="71" t="s">
        <v>2479</v>
      </c>
      <c r="I2159" s="71" t="s">
        <v>397</v>
      </c>
      <c r="J2159" s="71" t="s">
        <v>2466</v>
      </c>
    </row>
    <row r="2160" spans="1:10" ht="43.5" x14ac:dyDescent="0.35">
      <c r="A2160" s="195">
        <v>15</v>
      </c>
      <c r="B2160" s="195">
        <v>59</v>
      </c>
      <c r="C2160" s="195" t="s">
        <v>2685</v>
      </c>
      <c r="D2160" s="64">
        <v>3890</v>
      </c>
      <c r="E2160" s="195" t="s">
        <v>366</v>
      </c>
      <c r="F2160" s="71" t="s">
        <v>2508</v>
      </c>
      <c r="G2160" s="71" t="s">
        <v>2512</v>
      </c>
      <c r="H2160" s="71" t="s">
        <v>2645</v>
      </c>
      <c r="I2160" s="71" t="s">
        <v>1467</v>
      </c>
      <c r="J2160" s="71" t="s">
        <v>2443</v>
      </c>
    </row>
    <row r="2161" spans="1:10" ht="43.5" x14ac:dyDescent="0.35">
      <c r="A2161" s="195">
        <v>15</v>
      </c>
      <c r="B2161" s="195">
        <v>59</v>
      </c>
      <c r="C2161" s="195" t="s">
        <v>2683</v>
      </c>
      <c r="D2161" s="64">
        <v>1545</v>
      </c>
      <c r="E2161" s="195" t="s">
        <v>366</v>
      </c>
      <c r="F2161" s="71" t="s">
        <v>2510</v>
      </c>
      <c r="G2161" s="71" t="s">
        <v>2512</v>
      </c>
      <c r="H2161" s="71" t="s">
        <v>2645</v>
      </c>
      <c r="I2161" s="71" t="s">
        <v>1467</v>
      </c>
      <c r="J2161" s="71" t="s">
        <v>2443</v>
      </c>
    </row>
    <row r="2162" spans="1:10" ht="43.5" x14ac:dyDescent="0.35">
      <c r="A2162" s="195">
        <v>15</v>
      </c>
      <c r="B2162" s="195">
        <v>59</v>
      </c>
      <c r="C2162" s="195" t="s">
        <v>2684</v>
      </c>
      <c r="D2162" s="64">
        <v>22765</v>
      </c>
      <c r="E2162" s="195" t="s">
        <v>366</v>
      </c>
      <c r="F2162" s="71" t="s">
        <v>508</v>
      </c>
      <c r="G2162" s="71" t="s">
        <v>2512</v>
      </c>
      <c r="H2162" s="71" t="s">
        <v>2479</v>
      </c>
      <c r="I2162" s="71" t="s">
        <v>406</v>
      </c>
      <c r="J2162" s="71" t="s">
        <v>2443</v>
      </c>
    </row>
    <row r="2163" spans="1:10" ht="43.5" x14ac:dyDescent="0.35">
      <c r="A2163" s="195">
        <v>15</v>
      </c>
      <c r="B2163" s="195">
        <v>60</v>
      </c>
      <c r="C2163" s="195" t="s">
        <v>2688</v>
      </c>
      <c r="D2163" s="195">
        <v>695</v>
      </c>
      <c r="E2163" s="195" t="s">
        <v>373</v>
      </c>
      <c r="F2163" s="71" t="s">
        <v>2508</v>
      </c>
      <c r="G2163" s="71" t="s">
        <v>2512</v>
      </c>
      <c r="H2163" s="71" t="s">
        <v>2645</v>
      </c>
      <c r="I2163" s="71" t="s">
        <v>1467</v>
      </c>
      <c r="J2163" s="71" t="s">
        <v>2460</v>
      </c>
    </row>
    <row r="2164" spans="1:10" ht="43.5" x14ac:dyDescent="0.35">
      <c r="A2164" s="195">
        <v>15</v>
      </c>
      <c r="B2164" s="195">
        <v>60</v>
      </c>
      <c r="C2164" s="195" t="s">
        <v>2687</v>
      </c>
      <c r="D2164" s="64">
        <v>315</v>
      </c>
      <c r="E2164" s="195" t="s">
        <v>373</v>
      </c>
      <c r="F2164" s="71" t="s">
        <v>2510</v>
      </c>
      <c r="G2164" s="71" t="s">
        <v>2512</v>
      </c>
      <c r="H2164" s="71" t="s">
        <v>2645</v>
      </c>
      <c r="I2164" s="71" t="s">
        <v>1467</v>
      </c>
      <c r="J2164" s="71" t="s">
        <v>2460</v>
      </c>
    </row>
    <row r="2165" spans="1:10" ht="43.5" x14ac:dyDescent="0.35">
      <c r="A2165" s="195">
        <v>15</v>
      </c>
      <c r="B2165" s="195">
        <v>60</v>
      </c>
      <c r="C2165" s="195" t="s">
        <v>2686</v>
      </c>
      <c r="D2165" s="195">
        <v>9860</v>
      </c>
      <c r="E2165" s="195" t="s">
        <v>373</v>
      </c>
      <c r="F2165" s="71" t="s">
        <v>508</v>
      </c>
      <c r="G2165" s="71" t="s">
        <v>2512</v>
      </c>
      <c r="H2165" s="71" t="s">
        <v>2479</v>
      </c>
      <c r="I2165" s="71" t="s">
        <v>406</v>
      </c>
      <c r="J2165" s="71" t="s">
        <v>2460</v>
      </c>
    </row>
    <row r="2166" spans="1:10" ht="43.5" x14ac:dyDescent="0.35">
      <c r="A2166" s="195">
        <v>15</v>
      </c>
      <c r="B2166" s="195">
        <v>61</v>
      </c>
      <c r="C2166" s="195" t="s">
        <v>2690</v>
      </c>
      <c r="D2166" s="64">
        <v>1185</v>
      </c>
      <c r="E2166" s="195" t="s">
        <v>373</v>
      </c>
      <c r="F2166" s="71" t="s">
        <v>2508</v>
      </c>
      <c r="G2166" s="71" t="s">
        <v>2512</v>
      </c>
      <c r="H2166" s="71" t="s">
        <v>2645</v>
      </c>
      <c r="I2166" s="71" t="s">
        <v>1467</v>
      </c>
      <c r="J2166" s="71" t="s">
        <v>2463</v>
      </c>
    </row>
    <row r="2167" spans="1:10" ht="43.5" x14ac:dyDescent="0.35">
      <c r="A2167" s="195">
        <v>15</v>
      </c>
      <c r="B2167" s="195">
        <v>61</v>
      </c>
      <c r="C2167" s="195" t="s">
        <v>2689</v>
      </c>
      <c r="D2167" s="64">
        <v>415</v>
      </c>
      <c r="E2167" s="195" t="s">
        <v>373</v>
      </c>
      <c r="F2167" s="71" t="s">
        <v>2510</v>
      </c>
      <c r="G2167" s="71" t="s">
        <v>2512</v>
      </c>
      <c r="H2167" s="71" t="s">
        <v>2645</v>
      </c>
      <c r="I2167" s="71" t="s">
        <v>1467</v>
      </c>
      <c r="J2167" s="71" t="s">
        <v>2463</v>
      </c>
    </row>
    <row r="2168" spans="1:10" ht="43.5" x14ac:dyDescent="0.35">
      <c r="A2168" s="195">
        <v>15</v>
      </c>
      <c r="B2168" s="195">
        <v>61</v>
      </c>
      <c r="C2168" s="195" t="s">
        <v>2691</v>
      </c>
      <c r="D2168" s="195">
        <v>8375</v>
      </c>
      <c r="E2168" s="195" t="s">
        <v>373</v>
      </c>
      <c r="F2168" s="71" t="s">
        <v>508</v>
      </c>
      <c r="G2168" s="71" t="s">
        <v>2512</v>
      </c>
      <c r="H2168" s="71" t="s">
        <v>2479</v>
      </c>
      <c r="I2168" s="71" t="s">
        <v>406</v>
      </c>
      <c r="J2168" s="71" t="s">
        <v>2463</v>
      </c>
    </row>
    <row r="2169" spans="1:10" ht="43.5" x14ac:dyDescent="0.35">
      <c r="A2169" s="195">
        <v>15</v>
      </c>
      <c r="B2169" s="195">
        <v>62</v>
      </c>
      <c r="C2169" s="195" t="s">
        <v>2694</v>
      </c>
      <c r="D2169" s="64">
        <v>2015</v>
      </c>
      <c r="E2169" s="195" t="s">
        <v>373</v>
      </c>
      <c r="F2169" s="71" t="s">
        <v>2508</v>
      </c>
      <c r="G2169" s="71" t="s">
        <v>2512</v>
      </c>
      <c r="H2169" s="71" t="s">
        <v>2645</v>
      </c>
      <c r="I2169" s="71" t="s">
        <v>1467</v>
      </c>
      <c r="J2169" s="71" t="s">
        <v>2466</v>
      </c>
    </row>
    <row r="2170" spans="1:10" ht="43.5" x14ac:dyDescent="0.35">
      <c r="A2170" s="195">
        <v>15</v>
      </c>
      <c r="B2170" s="195">
        <v>62</v>
      </c>
      <c r="C2170" s="195" t="s">
        <v>2692</v>
      </c>
      <c r="D2170" s="64">
        <v>820</v>
      </c>
      <c r="E2170" s="195" t="s">
        <v>373</v>
      </c>
      <c r="F2170" s="71" t="s">
        <v>2510</v>
      </c>
      <c r="G2170" s="71" t="s">
        <v>2512</v>
      </c>
      <c r="H2170" s="71" t="s">
        <v>2645</v>
      </c>
      <c r="I2170" s="71" t="s">
        <v>1467</v>
      </c>
      <c r="J2170" s="71" t="s">
        <v>2466</v>
      </c>
    </row>
    <row r="2171" spans="1:10" ht="43.5" x14ac:dyDescent="0.35">
      <c r="A2171" s="195">
        <v>15</v>
      </c>
      <c r="B2171" s="195">
        <v>62</v>
      </c>
      <c r="C2171" s="195" t="s">
        <v>2693</v>
      </c>
      <c r="D2171" s="64">
        <v>4530</v>
      </c>
      <c r="E2171" s="195" t="s">
        <v>373</v>
      </c>
      <c r="F2171" s="71" t="s">
        <v>508</v>
      </c>
      <c r="G2171" s="71" t="s">
        <v>2512</v>
      </c>
      <c r="H2171" s="71" t="s">
        <v>2479</v>
      </c>
      <c r="I2171" s="71" t="s">
        <v>406</v>
      </c>
      <c r="J2171" s="71" t="s">
        <v>2466</v>
      </c>
    </row>
    <row r="2172" spans="1:10" ht="43.5" x14ac:dyDescent="0.35">
      <c r="A2172" s="195">
        <v>15</v>
      </c>
      <c r="B2172" s="195">
        <v>63</v>
      </c>
      <c r="C2172" s="195" t="s">
        <v>2696</v>
      </c>
      <c r="D2172" s="64">
        <v>24005</v>
      </c>
      <c r="E2172" s="195" t="s">
        <v>366</v>
      </c>
      <c r="F2172" s="71" t="s">
        <v>2508</v>
      </c>
      <c r="G2172" s="71" t="s">
        <v>2512</v>
      </c>
      <c r="H2172" s="71" t="s">
        <v>2645</v>
      </c>
      <c r="I2172" s="71" t="s">
        <v>1494</v>
      </c>
      <c r="J2172" s="71" t="s">
        <v>2443</v>
      </c>
    </row>
    <row r="2173" spans="1:10" ht="43.5" x14ac:dyDescent="0.35">
      <c r="A2173" s="195">
        <v>15</v>
      </c>
      <c r="B2173" s="195">
        <v>63</v>
      </c>
      <c r="C2173" s="195" t="s">
        <v>2695</v>
      </c>
      <c r="D2173" s="64">
        <v>6840</v>
      </c>
      <c r="E2173" s="195" t="s">
        <v>366</v>
      </c>
      <c r="F2173" s="71" t="s">
        <v>2510</v>
      </c>
      <c r="G2173" s="71" t="s">
        <v>2512</v>
      </c>
      <c r="H2173" s="71" t="s">
        <v>2645</v>
      </c>
      <c r="I2173" s="71" t="s">
        <v>1494</v>
      </c>
      <c r="J2173" s="71" t="s">
        <v>2443</v>
      </c>
    </row>
    <row r="2174" spans="1:10" ht="29" x14ac:dyDescent="0.35">
      <c r="A2174" s="195">
        <v>15</v>
      </c>
      <c r="B2174" s="195">
        <v>63</v>
      </c>
      <c r="C2174" s="195" t="s">
        <v>2697</v>
      </c>
      <c r="D2174" s="64">
        <v>51525</v>
      </c>
      <c r="E2174" s="195" t="s">
        <v>366</v>
      </c>
      <c r="F2174" s="71" t="s">
        <v>508</v>
      </c>
      <c r="G2174" s="71" t="s">
        <v>2512</v>
      </c>
      <c r="H2174" s="71" t="s">
        <v>2479</v>
      </c>
      <c r="I2174" s="71" t="s">
        <v>415</v>
      </c>
      <c r="J2174" s="71" t="s">
        <v>2443</v>
      </c>
    </row>
    <row r="2175" spans="1:10" ht="43.5" x14ac:dyDescent="0.35">
      <c r="A2175" s="195">
        <v>15</v>
      </c>
      <c r="B2175" s="195">
        <v>64</v>
      </c>
      <c r="C2175" s="195" t="s">
        <v>2698</v>
      </c>
      <c r="D2175" s="195">
        <v>2895</v>
      </c>
      <c r="E2175" s="195" t="s">
        <v>373</v>
      </c>
      <c r="F2175" s="71" t="s">
        <v>2508</v>
      </c>
      <c r="G2175" s="71" t="s">
        <v>2512</v>
      </c>
      <c r="H2175" s="71" t="s">
        <v>2645</v>
      </c>
      <c r="I2175" s="71" t="s">
        <v>1494</v>
      </c>
      <c r="J2175" s="71" t="s">
        <v>2460</v>
      </c>
    </row>
    <row r="2176" spans="1:10" ht="43.5" x14ac:dyDescent="0.35">
      <c r="A2176" s="195">
        <v>15</v>
      </c>
      <c r="B2176" s="195">
        <v>64</v>
      </c>
      <c r="C2176" s="195" t="s">
        <v>2700</v>
      </c>
      <c r="D2176" s="64">
        <v>715</v>
      </c>
      <c r="E2176" s="195" t="s">
        <v>373</v>
      </c>
      <c r="F2176" s="71" t="s">
        <v>2510</v>
      </c>
      <c r="G2176" s="71" t="s">
        <v>2512</v>
      </c>
      <c r="H2176" s="71" t="s">
        <v>2645</v>
      </c>
      <c r="I2176" s="71" t="s">
        <v>1494</v>
      </c>
      <c r="J2176" s="71" t="s">
        <v>2460</v>
      </c>
    </row>
    <row r="2177" spans="1:10" ht="29" x14ac:dyDescent="0.35">
      <c r="A2177" s="195">
        <v>15</v>
      </c>
      <c r="B2177" s="195">
        <v>64</v>
      </c>
      <c r="C2177" s="195" t="s">
        <v>2699</v>
      </c>
      <c r="D2177" s="64">
        <v>18865</v>
      </c>
      <c r="E2177" s="195" t="s">
        <v>373</v>
      </c>
      <c r="F2177" s="71" t="s">
        <v>508</v>
      </c>
      <c r="G2177" s="71" t="s">
        <v>2512</v>
      </c>
      <c r="H2177" s="71" t="s">
        <v>2479</v>
      </c>
      <c r="I2177" s="71" t="s">
        <v>415</v>
      </c>
      <c r="J2177" s="71" t="s">
        <v>2460</v>
      </c>
    </row>
    <row r="2178" spans="1:10" ht="43.5" x14ac:dyDescent="0.35">
      <c r="A2178" s="195">
        <v>15</v>
      </c>
      <c r="B2178" s="195">
        <v>65</v>
      </c>
      <c r="C2178" s="195" t="s">
        <v>2703</v>
      </c>
      <c r="D2178" s="64">
        <v>7570</v>
      </c>
      <c r="E2178" s="195" t="s">
        <v>373</v>
      </c>
      <c r="F2178" s="71" t="s">
        <v>2508</v>
      </c>
      <c r="G2178" s="71" t="s">
        <v>2512</v>
      </c>
      <c r="H2178" s="71" t="s">
        <v>2645</v>
      </c>
      <c r="I2178" s="71" t="s">
        <v>1494</v>
      </c>
      <c r="J2178" s="71" t="s">
        <v>2463</v>
      </c>
    </row>
    <row r="2179" spans="1:10" ht="43.5" x14ac:dyDescent="0.35">
      <c r="A2179" s="195">
        <v>15</v>
      </c>
      <c r="B2179" s="195">
        <v>65</v>
      </c>
      <c r="C2179" s="195" t="s">
        <v>2701</v>
      </c>
      <c r="D2179" s="64">
        <v>2140</v>
      </c>
      <c r="E2179" s="195" t="s">
        <v>373</v>
      </c>
      <c r="F2179" s="71" t="s">
        <v>2510</v>
      </c>
      <c r="G2179" s="71" t="s">
        <v>2512</v>
      </c>
      <c r="H2179" s="71" t="s">
        <v>2645</v>
      </c>
      <c r="I2179" s="71" t="s">
        <v>1494</v>
      </c>
      <c r="J2179" s="71" t="s">
        <v>2463</v>
      </c>
    </row>
    <row r="2180" spans="1:10" ht="29" x14ac:dyDescent="0.35">
      <c r="A2180" s="195">
        <v>15</v>
      </c>
      <c r="B2180" s="195">
        <v>65</v>
      </c>
      <c r="C2180" s="195" t="s">
        <v>2702</v>
      </c>
      <c r="D2180" s="64">
        <v>20410</v>
      </c>
      <c r="E2180" s="195" t="s">
        <v>373</v>
      </c>
      <c r="F2180" s="71" t="s">
        <v>508</v>
      </c>
      <c r="G2180" s="71" t="s">
        <v>2512</v>
      </c>
      <c r="H2180" s="71" t="s">
        <v>2479</v>
      </c>
      <c r="I2180" s="71" t="s">
        <v>415</v>
      </c>
      <c r="J2180" s="71" t="s">
        <v>2463</v>
      </c>
    </row>
    <row r="2181" spans="1:10" ht="43.5" x14ac:dyDescent="0.35">
      <c r="A2181" s="195">
        <v>15</v>
      </c>
      <c r="B2181" s="195">
        <v>66</v>
      </c>
      <c r="C2181" s="195" t="s">
        <v>2706</v>
      </c>
      <c r="D2181" s="64">
        <v>13545</v>
      </c>
      <c r="E2181" s="195" t="s">
        <v>373</v>
      </c>
      <c r="F2181" s="71" t="s">
        <v>2508</v>
      </c>
      <c r="G2181" s="71" t="s">
        <v>2512</v>
      </c>
      <c r="H2181" s="71" t="s">
        <v>2645</v>
      </c>
      <c r="I2181" s="71" t="s">
        <v>1494</v>
      </c>
      <c r="J2181" s="71" t="s">
        <v>2466</v>
      </c>
    </row>
    <row r="2182" spans="1:10" ht="43.5" x14ac:dyDescent="0.35">
      <c r="A2182" s="195">
        <v>15</v>
      </c>
      <c r="B2182" s="195">
        <v>66</v>
      </c>
      <c r="C2182" s="195" t="s">
        <v>2704</v>
      </c>
      <c r="D2182" s="64">
        <v>3990</v>
      </c>
      <c r="E2182" s="195" t="s">
        <v>373</v>
      </c>
      <c r="F2182" s="71" t="s">
        <v>2510</v>
      </c>
      <c r="G2182" s="71" t="s">
        <v>2512</v>
      </c>
      <c r="H2182" s="71" t="s">
        <v>2645</v>
      </c>
      <c r="I2182" s="71" t="s">
        <v>1494</v>
      </c>
      <c r="J2182" s="71" t="s">
        <v>2466</v>
      </c>
    </row>
    <row r="2183" spans="1:10" ht="29" x14ac:dyDescent="0.35">
      <c r="A2183" s="195">
        <v>15</v>
      </c>
      <c r="B2183" s="195">
        <v>66</v>
      </c>
      <c r="C2183" s="195" t="s">
        <v>2705</v>
      </c>
      <c r="D2183" s="64">
        <v>12250</v>
      </c>
      <c r="E2183" s="195" t="s">
        <v>373</v>
      </c>
      <c r="F2183" s="71" t="s">
        <v>508</v>
      </c>
      <c r="G2183" s="71" t="s">
        <v>2512</v>
      </c>
      <c r="H2183" s="71" t="s">
        <v>2479</v>
      </c>
      <c r="I2183" s="71" t="s">
        <v>415</v>
      </c>
      <c r="J2183" s="71" t="s">
        <v>2466</v>
      </c>
    </row>
    <row r="2184" spans="1:10" ht="29" x14ac:dyDescent="0.35">
      <c r="A2184" s="195">
        <v>15</v>
      </c>
      <c r="B2184" s="195">
        <v>67</v>
      </c>
      <c r="C2184" s="195" t="s">
        <v>2707</v>
      </c>
      <c r="D2184" s="64">
        <v>121550</v>
      </c>
      <c r="E2184" s="195" t="s">
        <v>366</v>
      </c>
      <c r="F2184" s="71" t="s">
        <v>2508</v>
      </c>
      <c r="G2184" s="71" t="s">
        <v>2512</v>
      </c>
      <c r="H2184" s="71" t="s">
        <v>2708</v>
      </c>
      <c r="I2184" s="71" t="s">
        <v>363</v>
      </c>
      <c r="J2184" s="71" t="s">
        <v>2443</v>
      </c>
    </row>
    <row r="2185" spans="1:10" ht="29" x14ac:dyDescent="0.35">
      <c r="A2185" s="195">
        <v>15</v>
      </c>
      <c r="B2185" s="195">
        <v>67</v>
      </c>
      <c r="C2185" s="195" t="s">
        <v>2710</v>
      </c>
      <c r="D2185" s="64">
        <v>40775</v>
      </c>
      <c r="E2185" s="195" t="s">
        <v>366</v>
      </c>
      <c r="F2185" s="71" t="s">
        <v>2510</v>
      </c>
      <c r="G2185" s="71" t="s">
        <v>2512</v>
      </c>
      <c r="H2185" s="71" t="s">
        <v>2708</v>
      </c>
      <c r="I2185" s="71" t="s">
        <v>363</v>
      </c>
      <c r="J2185" s="71" t="s">
        <v>2443</v>
      </c>
    </row>
    <row r="2186" spans="1:10" ht="29" x14ac:dyDescent="0.35">
      <c r="A2186" s="195">
        <v>15</v>
      </c>
      <c r="B2186" s="195">
        <v>67</v>
      </c>
      <c r="C2186" s="195" t="s">
        <v>2709</v>
      </c>
      <c r="D2186" s="64">
        <v>114885</v>
      </c>
      <c r="E2186" s="195" t="s">
        <v>366</v>
      </c>
      <c r="F2186" s="71" t="s">
        <v>508</v>
      </c>
      <c r="G2186" s="71" t="s">
        <v>2512</v>
      </c>
      <c r="H2186" s="71" t="s">
        <v>2491</v>
      </c>
      <c r="I2186" s="71" t="s">
        <v>363</v>
      </c>
      <c r="J2186" s="71" t="s">
        <v>2443</v>
      </c>
    </row>
    <row r="2187" spans="1:10" ht="43.5" x14ac:dyDescent="0.35">
      <c r="A2187" s="195">
        <v>15</v>
      </c>
      <c r="B2187" s="195">
        <v>68</v>
      </c>
      <c r="C2187" s="195" t="s">
        <v>2713</v>
      </c>
      <c r="D2187" s="64">
        <v>4395</v>
      </c>
      <c r="E2187" s="195" t="s">
        <v>366</v>
      </c>
      <c r="F2187" s="71" t="s">
        <v>2508</v>
      </c>
      <c r="G2187" s="71" t="s">
        <v>2512</v>
      </c>
      <c r="H2187" s="71" t="s">
        <v>2708</v>
      </c>
      <c r="I2187" s="71" t="s">
        <v>1377</v>
      </c>
      <c r="J2187" s="71" t="s">
        <v>2443</v>
      </c>
    </row>
    <row r="2188" spans="1:10" ht="43.5" x14ac:dyDescent="0.35">
      <c r="A2188" s="195">
        <v>15</v>
      </c>
      <c r="B2188" s="195">
        <v>68</v>
      </c>
      <c r="C2188" s="195" t="s">
        <v>2711</v>
      </c>
      <c r="D2188" s="64">
        <v>4540</v>
      </c>
      <c r="E2188" s="195" t="s">
        <v>366</v>
      </c>
      <c r="F2188" s="71" t="s">
        <v>2510</v>
      </c>
      <c r="G2188" s="71" t="s">
        <v>2512</v>
      </c>
      <c r="H2188" s="71" t="s">
        <v>2708</v>
      </c>
      <c r="I2188" s="71" t="s">
        <v>1377</v>
      </c>
      <c r="J2188" s="71" t="s">
        <v>2443</v>
      </c>
    </row>
    <row r="2189" spans="1:10" ht="29" x14ac:dyDescent="0.35">
      <c r="A2189" s="195">
        <v>15</v>
      </c>
      <c r="B2189" s="195">
        <v>68</v>
      </c>
      <c r="C2189" s="195" t="s">
        <v>2712</v>
      </c>
      <c r="D2189" s="64">
        <v>13175</v>
      </c>
      <c r="E2189" s="195" t="s">
        <v>366</v>
      </c>
      <c r="F2189" s="71" t="s">
        <v>508</v>
      </c>
      <c r="G2189" s="71" t="s">
        <v>2512</v>
      </c>
      <c r="H2189" s="71" t="s">
        <v>2491</v>
      </c>
      <c r="I2189" s="71" t="s">
        <v>371</v>
      </c>
      <c r="J2189" s="71" t="s">
        <v>2443</v>
      </c>
    </row>
    <row r="2190" spans="1:10" ht="43.5" x14ac:dyDescent="0.35">
      <c r="A2190" s="195">
        <v>15</v>
      </c>
      <c r="B2190" s="195">
        <v>69</v>
      </c>
      <c r="C2190" s="195" t="s">
        <v>2714</v>
      </c>
      <c r="D2190" s="64">
        <v>805</v>
      </c>
      <c r="E2190" s="195" t="s">
        <v>373</v>
      </c>
      <c r="F2190" s="71" t="s">
        <v>2508</v>
      </c>
      <c r="G2190" s="71" t="s">
        <v>2512</v>
      </c>
      <c r="H2190" s="71" t="s">
        <v>2708</v>
      </c>
      <c r="I2190" s="71" t="s">
        <v>1377</v>
      </c>
      <c r="J2190" s="71" t="s">
        <v>2460</v>
      </c>
    </row>
    <row r="2191" spans="1:10" ht="43.5" x14ac:dyDescent="0.35">
      <c r="A2191" s="195">
        <v>15</v>
      </c>
      <c r="B2191" s="195">
        <v>69</v>
      </c>
      <c r="C2191" s="195" t="s">
        <v>2715</v>
      </c>
      <c r="D2191" s="195">
        <v>790</v>
      </c>
      <c r="E2191" s="195" t="s">
        <v>373</v>
      </c>
      <c r="F2191" s="71" t="s">
        <v>2510</v>
      </c>
      <c r="G2191" s="71" t="s">
        <v>2512</v>
      </c>
      <c r="H2191" s="71" t="s">
        <v>2708</v>
      </c>
      <c r="I2191" s="71" t="s">
        <v>1377</v>
      </c>
      <c r="J2191" s="71" t="s">
        <v>2460</v>
      </c>
    </row>
    <row r="2192" spans="1:10" ht="29" x14ac:dyDescent="0.35">
      <c r="A2192" s="195">
        <v>15</v>
      </c>
      <c r="B2192" s="195">
        <v>69</v>
      </c>
      <c r="C2192" s="195" t="s">
        <v>2716</v>
      </c>
      <c r="D2192" s="64">
        <v>7145</v>
      </c>
      <c r="E2192" s="195" t="s">
        <v>373</v>
      </c>
      <c r="F2192" s="71" t="s">
        <v>508</v>
      </c>
      <c r="G2192" s="71" t="s">
        <v>2512</v>
      </c>
      <c r="H2192" s="71" t="s">
        <v>2491</v>
      </c>
      <c r="I2192" s="71" t="s">
        <v>371</v>
      </c>
      <c r="J2192" s="71" t="s">
        <v>2460</v>
      </c>
    </row>
    <row r="2193" spans="1:10" ht="43.5" x14ac:dyDescent="0.35">
      <c r="A2193" s="195">
        <v>15</v>
      </c>
      <c r="B2193" s="195">
        <v>70</v>
      </c>
      <c r="C2193" s="195" t="s">
        <v>2717</v>
      </c>
      <c r="D2193" s="64">
        <v>1650</v>
      </c>
      <c r="E2193" s="195" t="s">
        <v>373</v>
      </c>
      <c r="F2193" s="71" t="s">
        <v>2508</v>
      </c>
      <c r="G2193" s="71" t="s">
        <v>2512</v>
      </c>
      <c r="H2193" s="71" t="s">
        <v>2708</v>
      </c>
      <c r="I2193" s="71" t="s">
        <v>1377</v>
      </c>
      <c r="J2193" s="71" t="s">
        <v>2463</v>
      </c>
    </row>
    <row r="2194" spans="1:10" ht="43.5" x14ac:dyDescent="0.35">
      <c r="A2194" s="195">
        <v>15</v>
      </c>
      <c r="B2194" s="195">
        <v>70</v>
      </c>
      <c r="C2194" s="195" t="s">
        <v>2719</v>
      </c>
      <c r="D2194" s="64">
        <v>1940</v>
      </c>
      <c r="E2194" s="195" t="s">
        <v>373</v>
      </c>
      <c r="F2194" s="71" t="s">
        <v>2510</v>
      </c>
      <c r="G2194" s="71" t="s">
        <v>2512</v>
      </c>
      <c r="H2194" s="71" t="s">
        <v>2708</v>
      </c>
      <c r="I2194" s="71" t="s">
        <v>1377</v>
      </c>
      <c r="J2194" s="71" t="s">
        <v>2463</v>
      </c>
    </row>
    <row r="2195" spans="1:10" ht="29" x14ac:dyDescent="0.35">
      <c r="A2195" s="195">
        <v>15</v>
      </c>
      <c r="B2195" s="195">
        <v>70</v>
      </c>
      <c r="C2195" s="195" t="s">
        <v>2718</v>
      </c>
      <c r="D2195" s="64">
        <v>3685</v>
      </c>
      <c r="E2195" s="195" t="s">
        <v>373</v>
      </c>
      <c r="F2195" s="71" t="s">
        <v>508</v>
      </c>
      <c r="G2195" s="71" t="s">
        <v>2512</v>
      </c>
      <c r="H2195" s="71" t="s">
        <v>2491</v>
      </c>
      <c r="I2195" s="71" t="s">
        <v>371</v>
      </c>
      <c r="J2195" s="71" t="s">
        <v>2463</v>
      </c>
    </row>
    <row r="2196" spans="1:10" ht="43.5" x14ac:dyDescent="0.35">
      <c r="A2196" s="195">
        <v>15</v>
      </c>
      <c r="B2196" s="195">
        <v>71</v>
      </c>
      <c r="C2196" s="195" t="s">
        <v>2720</v>
      </c>
      <c r="D2196" s="64">
        <v>1940</v>
      </c>
      <c r="E2196" s="195" t="s">
        <v>373</v>
      </c>
      <c r="F2196" s="71" t="s">
        <v>2508</v>
      </c>
      <c r="G2196" s="71" t="s">
        <v>2512</v>
      </c>
      <c r="H2196" s="71" t="s">
        <v>2708</v>
      </c>
      <c r="I2196" s="71" t="s">
        <v>1377</v>
      </c>
      <c r="J2196" s="71" t="s">
        <v>2466</v>
      </c>
    </row>
    <row r="2197" spans="1:10" ht="43.5" x14ac:dyDescent="0.35">
      <c r="A2197" s="195">
        <v>15</v>
      </c>
      <c r="B2197" s="195">
        <v>71</v>
      </c>
      <c r="C2197" s="195" t="s">
        <v>2722</v>
      </c>
      <c r="D2197" s="64">
        <v>1810</v>
      </c>
      <c r="E2197" s="195" t="s">
        <v>373</v>
      </c>
      <c r="F2197" s="71" t="s">
        <v>2510</v>
      </c>
      <c r="G2197" s="71" t="s">
        <v>2512</v>
      </c>
      <c r="H2197" s="71" t="s">
        <v>2708</v>
      </c>
      <c r="I2197" s="71" t="s">
        <v>1377</v>
      </c>
      <c r="J2197" s="71" t="s">
        <v>2466</v>
      </c>
    </row>
    <row r="2198" spans="1:10" ht="29" x14ac:dyDescent="0.35">
      <c r="A2198" s="195">
        <v>15</v>
      </c>
      <c r="B2198" s="195">
        <v>71</v>
      </c>
      <c r="C2198" s="195" t="s">
        <v>2721</v>
      </c>
      <c r="D2198" s="64">
        <v>2345</v>
      </c>
      <c r="E2198" s="195" t="s">
        <v>373</v>
      </c>
      <c r="F2198" s="71" t="s">
        <v>508</v>
      </c>
      <c r="G2198" s="71" t="s">
        <v>2512</v>
      </c>
      <c r="H2198" s="71" t="s">
        <v>2491</v>
      </c>
      <c r="I2198" s="71" t="s">
        <v>371</v>
      </c>
      <c r="J2198" s="71" t="s">
        <v>2466</v>
      </c>
    </row>
    <row r="2199" spans="1:10" ht="43.5" x14ac:dyDescent="0.35">
      <c r="A2199" s="195">
        <v>15</v>
      </c>
      <c r="B2199" s="195">
        <v>72</v>
      </c>
      <c r="C2199" s="195" t="s">
        <v>2724</v>
      </c>
      <c r="D2199" s="64">
        <v>4585</v>
      </c>
      <c r="E2199" s="195" t="s">
        <v>366</v>
      </c>
      <c r="F2199" s="71" t="s">
        <v>2508</v>
      </c>
      <c r="G2199" s="71" t="s">
        <v>2512</v>
      </c>
      <c r="H2199" s="71" t="s">
        <v>2708</v>
      </c>
      <c r="I2199" s="71" t="s">
        <v>1413</v>
      </c>
      <c r="J2199" s="71" t="s">
        <v>2443</v>
      </c>
    </row>
    <row r="2200" spans="1:10" ht="43.5" x14ac:dyDescent="0.35">
      <c r="A2200" s="195">
        <v>15</v>
      </c>
      <c r="B2200" s="195">
        <v>72</v>
      </c>
      <c r="C2200" s="195" t="s">
        <v>2725</v>
      </c>
      <c r="D2200" s="64">
        <v>4365</v>
      </c>
      <c r="E2200" s="195" t="s">
        <v>366</v>
      </c>
      <c r="F2200" s="71" t="s">
        <v>2510</v>
      </c>
      <c r="G2200" s="71" t="s">
        <v>2512</v>
      </c>
      <c r="H2200" s="71" t="s">
        <v>2708</v>
      </c>
      <c r="I2200" s="71" t="s">
        <v>1413</v>
      </c>
      <c r="J2200" s="71" t="s">
        <v>2443</v>
      </c>
    </row>
    <row r="2201" spans="1:10" ht="43.5" x14ac:dyDescent="0.35">
      <c r="A2201" s="195">
        <v>15</v>
      </c>
      <c r="B2201" s="195">
        <v>72</v>
      </c>
      <c r="C2201" s="195" t="s">
        <v>2723</v>
      </c>
      <c r="D2201" s="64">
        <v>6985</v>
      </c>
      <c r="E2201" s="195" t="s">
        <v>366</v>
      </c>
      <c r="F2201" s="71" t="s">
        <v>508</v>
      </c>
      <c r="G2201" s="71" t="s">
        <v>2512</v>
      </c>
      <c r="H2201" s="71" t="s">
        <v>2491</v>
      </c>
      <c r="I2201" s="71" t="s">
        <v>388</v>
      </c>
      <c r="J2201" s="71" t="s">
        <v>2443</v>
      </c>
    </row>
    <row r="2202" spans="1:10" ht="43.5" x14ac:dyDescent="0.35">
      <c r="A2202" s="195">
        <v>15</v>
      </c>
      <c r="B2202" s="195">
        <v>73</v>
      </c>
      <c r="C2202" s="195" t="s">
        <v>2726</v>
      </c>
      <c r="D2202" s="64">
        <v>510</v>
      </c>
      <c r="E2202" s="195" t="s">
        <v>373</v>
      </c>
      <c r="F2202" s="71" t="s">
        <v>2508</v>
      </c>
      <c r="G2202" s="71" t="s">
        <v>2512</v>
      </c>
      <c r="H2202" s="71" t="s">
        <v>2708</v>
      </c>
      <c r="I2202" s="71" t="s">
        <v>1413</v>
      </c>
      <c r="J2202" s="71" t="s">
        <v>2460</v>
      </c>
    </row>
    <row r="2203" spans="1:10" ht="43.5" x14ac:dyDescent="0.35">
      <c r="A2203" s="195">
        <v>15</v>
      </c>
      <c r="B2203" s="195">
        <v>73</v>
      </c>
      <c r="C2203" s="195" t="s">
        <v>2727</v>
      </c>
      <c r="D2203" s="195">
        <v>500</v>
      </c>
      <c r="E2203" s="195" t="s">
        <v>373</v>
      </c>
      <c r="F2203" s="71" t="s">
        <v>2510</v>
      </c>
      <c r="G2203" s="71" t="s">
        <v>2512</v>
      </c>
      <c r="H2203" s="71" t="s">
        <v>2708</v>
      </c>
      <c r="I2203" s="71" t="s">
        <v>1413</v>
      </c>
      <c r="J2203" s="71" t="s">
        <v>2460</v>
      </c>
    </row>
    <row r="2204" spans="1:10" ht="43.5" x14ac:dyDescent="0.35">
      <c r="A2204" s="195">
        <v>15</v>
      </c>
      <c r="B2204" s="195">
        <v>73</v>
      </c>
      <c r="C2204" s="195" t="s">
        <v>2728</v>
      </c>
      <c r="D2204" s="195">
        <v>3440</v>
      </c>
      <c r="E2204" s="195" t="s">
        <v>373</v>
      </c>
      <c r="F2204" s="71" t="s">
        <v>508</v>
      </c>
      <c r="G2204" s="71" t="s">
        <v>2512</v>
      </c>
      <c r="H2204" s="71" t="s">
        <v>2491</v>
      </c>
      <c r="I2204" s="71" t="s">
        <v>388</v>
      </c>
      <c r="J2204" s="71" t="s">
        <v>2460</v>
      </c>
    </row>
    <row r="2205" spans="1:10" ht="43.5" x14ac:dyDescent="0.35">
      <c r="A2205" s="195">
        <v>15</v>
      </c>
      <c r="B2205" s="195">
        <v>74</v>
      </c>
      <c r="C2205" s="195" t="s">
        <v>2731</v>
      </c>
      <c r="D2205" s="64">
        <v>1550</v>
      </c>
      <c r="E2205" s="195" t="s">
        <v>373</v>
      </c>
      <c r="F2205" s="71" t="s">
        <v>2508</v>
      </c>
      <c r="G2205" s="71" t="s">
        <v>2512</v>
      </c>
      <c r="H2205" s="71" t="s">
        <v>2708</v>
      </c>
      <c r="I2205" s="71" t="s">
        <v>1413</v>
      </c>
      <c r="J2205" s="71" t="s">
        <v>2463</v>
      </c>
    </row>
    <row r="2206" spans="1:10" ht="43.5" x14ac:dyDescent="0.35">
      <c r="A2206" s="195">
        <v>15</v>
      </c>
      <c r="B2206" s="195">
        <v>74</v>
      </c>
      <c r="C2206" s="195" t="s">
        <v>2730</v>
      </c>
      <c r="D2206" s="64">
        <v>1825</v>
      </c>
      <c r="E2206" s="195" t="s">
        <v>373</v>
      </c>
      <c r="F2206" s="71" t="s">
        <v>2510</v>
      </c>
      <c r="G2206" s="71" t="s">
        <v>2512</v>
      </c>
      <c r="H2206" s="71" t="s">
        <v>2708</v>
      </c>
      <c r="I2206" s="71" t="s">
        <v>1413</v>
      </c>
      <c r="J2206" s="71" t="s">
        <v>2463</v>
      </c>
    </row>
    <row r="2207" spans="1:10" ht="43.5" x14ac:dyDescent="0.35">
      <c r="A2207" s="195">
        <v>15</v>
      </c>
      <c r="B2207" s="195">
        <v>74</v>
      </c>
      <c r="C2207" s="195" t="s">
        <v>2729</v>
      </c>
      <c r="D2207" s="64">
        <v>2045</v>
      </c>
      <c r="E2207" s="195" t="s">
        <v>373</v>
      </c>
      <c r="F2207" s="71" t="s">
        <v>508</v>
      </c>
      <c r="G2207" s="71" t="s">
        <v>2512</v>
      </c>
      <c r="H2207" s="71" t="s">
        <v>2491</v>
      </c>
      <c r="I2207" s="71" t="s">
        <v>388</v>
      </c>
      <c r="J2207" s="71" t="s">
        <v>2463</v>
      </c>
    </row>
    <row r="2208" spans="1:10" ht="43.5" x14ac:dyDescent="0.35">
      <c r="A2208" s="195">
        <v>15</v>
      </c>
      <c r="B2208" s="195">
        <v>75</v>
      </c>
      <c r="C2208" s="195" t="s">
        <v>2733</v>
      </c>
      <c r="D2208" s="64">
        <v>2525</v>
      </c>
      <c r="E2208" s="195" t="s">
        <v>373</v>
      </c>
      <c r="F2208" s="71" t="s">
        <v>2508</v>
      </c>
      <c r="G2208" s="71" t="s">
        <v>2512</v>
      </c>
      <c r="H2208" s="71" t="s">
        <v>2708</v>
      </c>
      <c r="I2208" s="71" t="s">
        <v>1413</v>
      </c>
      <c r="J2208" s="71" t="s">
        <v>2466</v>
      </c>
    </row>
    <row r="2209" spans="1:10" ht="43.5" x14ac:dyDescent="0.35">
      <c r="A2209" s="195">
        <v>15</v>
      </c>
      <c r="B2209" s="195">
        <v>75</v>
      </c>
      <c r="C2209" s="195" t="s">
        <v>2734</v>
      </c>
      <c r="D2209" s="64">
        <v>2035</v>
      </c>
      <c r="E2209" s="195" t="s">
        <v>373</v>
      </c>
      <c r="F2209" s="71" t="s">
        <v>2510</v>
      </c>
      <c r="G2209" s="71" t="s">
        <v>2512</v>
      </c>
      <c r="H2209" s="71" t="s">
        <v>2708</v>
      </c>
      <c r="I2209" s="71" t="s">
        <v>1413</v>
      </c>
      <c r="J2209" s="71" t="s">
        <v>2466</v>
      </c>
    </row>
    <row r="2210" spans="1:10" ht="43.5" x14ac:dyDescent="0.35">
      <c r="A2210" s="195">
        <v>15</v>
      </c>
      <c r="B2210" s="195">
        <v>75</v>
      </c>
      <c r="C2210" s="195" t="s">
        <v>2732</v>
      </c>
      <c r="D2210" s="64">
        <v>1500</v>
      </c>
      <c r="E2210" s="195" t="s">
        <v>373</v>
      </c>
      <c r="F2210" s="71" t="s">
        <v>508</v>
      </c>
      <c r="G2210" s="71" t="s">
        <v>2512</v>
      </c>
      <c r="H2210" s="71" t="s">
        <v>2491</v>
      </c>
      <c r="I2210" s="71" t="s">
        <v>388</v>
      </c>
      <c r="J2210" s="71" t="s">
        <v>2466</v>
      </c>
    </row>
    <row r="2211" spans="1:10" ht="43.5" x14ac:dyDescent="0.35">
      <c r="A2211" s="195">
        <v>15</v>
      </c>
      <c r="B2211" s="195">
        <v>76</v>
      </c>
      <c r="C2211" s="195" t="s">
        <v>2736</v>
      </c>
      <c r="D2211" s="64">
        <v>7850</v>
      </c>
      <c r="E2211" s="195" t="s">
        <v>366</v>
      </c>
      <c r="F2211" s="71" t="s">
        <v>2508</v>
      </c>
      <c r="G2211" s="71" t="s">
        <v>2512</v>
      </c>
      <c r="H2211" s="71" t="s">
        <v>2708</v>
      </c>
      <c r="I2211" s="71" t="s">
        <v>1440</v>
      </c>
      <c r="J2211" s="71" t="s">
        <v>2443</v>
      </c>
    </row>
    <row r="2212" spans="1:10" ht="43.5" x14ac:dyDescent="0.35">
      <c r="A2212" s="195">
        <v>15</v>
      </c>
      <c r="B2212" s="195">
        <v>76</v>
      </c>
      <c r="C2212" s="195" t="s">
        <v>2737</v>
      </c>
      <c r="D2212" s="64">
        <v>5155</v>
      </c>
      <c r="E2212" s="195" t="s">
        <v>366</v>
      </c>
      <c r="F2212" s="71" t="s">
        <v>2510</v>
      </c>
      <c r="G2212" s="71" t="s">
        <v>2512</v>
      </c>
      <c r="H2212" s="71" t="s">
        <v>2708</v>
      </c>
      <c r="I2212" s="71" t="s">
        <v>1440</v>
      </c>
      <c r="J2212" s="71" t="s">
        <v>2443</v>
      </c>
    </row>
    <row r="2213" spans="1:10" ht="43.5" x14ac:dyDescent="0.35">
      <c r="A2213" s="195">
        <v>15</v>
      </c>
      <c r="B2213" s="195">
        <v>76</v>
      </c>
      <c r="C2213" s="195" t="s">
        <v>2735</v>
      </c>
      <c r="D2213" s="64">
        <v>10730</v>
      </c>
      <c r="E2213" s="195" t="s">
        <v>366</v>
      </c>
      <c r="F2213" s="71" t="s">
        <v>508</v>
      </c>
      <c r="G2213" s="71" t="s">
        <v>2512</v>
      </c>
      <c r="H2213" s="71" t="s">
        <v>2491</v>
      </c>
      <c r="I2213" s="71" t="s">
        <v>397</v>
      </c>
      <c r="J2213" s="71" t="s">
        <v>2443</v>
      </c>
    </row>
    <row r="2214" spans="1:10" ht="43.5" x14ac:dyDescent="0.35">
      <c r="A2214" s="195">
        <v>15</v>
      </c>
      <c r="B2214" s="195">
        <v>77</v>
      </c>
      <c r="C2214" s="195" t="s">
        <v>2740</v>
      </c>
      <c r="D2214" s="64">
        <v>795</v>
      </c>
      <c r="E2214" s="195" t="s">
        <v>373</v>
      </c>
      <c r="F2214" s="71" t="s">
        <v>2508</v>
      </c>
      <c r="G2214" s="71" t="s">
        <v>2512</v>
      </c>
      <c r="H2214" s="71" t="s">
        <v>2708</v>
      </c>
      <c r="I2214" s="71" t="s">
        <v>1440</v>
      </c>
      <c r="J2214" s="71" t="s">
        <v>2460</v>
      </c>
    </row>
    <row r="2215" spans="1:10" ht="43.5" x14ac:dyDescent="0.35">
      <c r="A2215" s="195">
        <v>15</v>
      </c>
      <c r="B2215" s="195">
        <v>77</v>
      </c>
      <c r="C2215" s="195" t="s">
        <v>2739</v>
      </c>
      <c r="D2215" s="195">
        <v>555</v>
      </c>
      <c r="E2215" s="195" t="s">
        <v>373</v>
      </c>
      <c r="F2215" s="71" t="s">
        <v>2510</v>
      </c>
      <c r="G2215" s="71" t="s">
        <v>2512</v>
      </c>
      <c r="H2215" s="71" t="s">
        <v>2708</v>
      </c>
      <c r="I2215" s="71" t="s">
        <v>1440</v>
      </c>
      <c r="J2215" s="71" t="s">
        <v>2460</v>
      </c>
    </row>
    <row r="2216" spans="1:10" ht="43.5" x14ac:dyDescent="0.35">
      <c r="A2216" s="195">
        <v>15</v>
      </c>
      <c r="B2216" s="195">
        <v>77</v>
      </c>
      <c r="C2216" s="195" t="s">
        <v>2738</v>
      </c>
      <c r="D2216" s="195">
        <v>5890</v>
      </c>
      <c r="E2216" s="195" t="s">
        <v>373</v>
      </c>
      <c r="F2216" s="71" t="s">
        <v>508</v>
      </c>
      <c r="G2216" s="71" t="s">
        <v>2512</v>
      </c>
      <c r="H2216" s="71" t="s">
        <v>2491</v>
      </c>
      <c r="I2216" s="71" t="s">
        <v>397</v>
      </c>
      <c r="J2216" s="71" t="s">
        <v>2460</v>
      </c>
    </row>
    <row r="2217" spans="1:10" ht="43.5" x14ac:dyDescent="0.35">
      <c r="A2217" s="195">
        <v>15</v>
      </c>
      <c r="B2217" s="195">
        <v>78</v>
      </c>
      <c r="C2217" s="195" t="s">
        <v>2741</v>
      </c>
      <c r="D2217" s="64">
        <v>2725</v>
      </c>
      <c r="E2217" s="195" t="s">
        <v>373</v>
      </c>
      <c r="F2217" s="71" t="s">
        <v>2508</v>
      </c>
      <c r="G2217" s="71" t="s">
        <v>2512</v>
      </c>
      <c r="H2217" s="71" t="s">
        <v>2708</v>
      </c>
      <c r="I2217" s="71" t="s">
        <v>1440</v>
      </c>
      <c r="J2217" s="71" t="s">
        <v>2463</v>
      </c>
    </row>
    <row r="2218" spans="1:10" ht="43.5" x14ac:dyDescent="0.35">
      <c r="A2218" s="195">
        <v>15</v>
      </c>
      <c r="B2218" s="195">
        <v>78</v>
      </c>
      <c r="C2218" s="195" t="s">
        <v>2743</v>
      </c>
      <c r="D2218" s="64">
        <v>2230</v>
      </c>
      <c r="E2218" s="195" t="s">
        <v>373</v>
      </c>
      <c r="F2218" s="71" t="s">
        <v>2510</v>
      </c>
      <c r="G2218" s="71" t="s">
        <v>2512</v>
      </c>
      <c r="H2218" s="71" t="s">
        <v>2708</v>
      </c>
      <c r="I2218" s="71" t="s">
        <v>1440</v>
      </c>
      <c r="J2218" s="71" t="s">
        <v>2463</v>
      </c>
    </row>
    <row r="2219" spans="1:10" ht="43.5" x14ac:dyDescent="0.35">
      <c r="A2219" s="195">
        <v>15</v>
      </c>
      <c r="B2219" s="195">
        <v>78</v>
      </c>
      <c r="C2219" s="195" t="s">
        <v>2742</v>
      </c>
      <c r="D2219" s="64">
        <v>3205</v>
      </c>
      <c r="E2219" s="195" t="s">
        <v>373</v>
      </c>
      <c r="F2219" s="71" t="s">
        <v>508</v>
      </c>
      <c r="G2219" s="71" t="s">
        <v>2512</v>
      </c>
      <c r="H2219" s="71" t="s">
        <v>2491</v>
      </c>
      <c r="I2219" s="71" t="s">
        <v>397</v>
      </c>
      <c r="J2219" s="71" t="s">
        <v>2463</v>
      </c>
    </row>
    <row r="2220" spans="1:10" ht="43.5" x14ac:dyDescent="0.35">
      <c r="A2220" s="195">
        <v>15</v>
      </c>
      <c r="B2220" s="195">
        <v>79</v>
      </c>
      <c r="C2220" s="195" t="s">
        <v>2744</v>
      </c>
      <c r="D2220" s="64">
        <v>4325</v>
      </c>
      <c r="E2220" s="195" t="s">
        <v>373</v>
      </c>
      <c r="F2220" s="71" t="s">
        <v>2508</v>
      </c>
      <c r="G2220" s="71" t="s">
        <v>2512</v>
      </c>
      <c r="H2220" s="71" t="s">
        <v>2708</v>
      </c>
      <c r="I2220" s="71" t="s">
        <v>1440</v>
      </c>
      <c r="J2220" s="71" t="s">
        <v>2466</v>
      </c>
    </row>
    <row r="2221" spans="1:10" ht="43.5" x14ac:dyDescent="0.35">
      <c r="A2221" s="195">
        <v>15</v>
      </c>
      <c r="B2221" s="195">
        <v>79</v>
      </c>
      <c r="C2221" s="195" t="s">
        <v>2745</v>
      </c>
      <c r="D2221" s="64">
        <v>2370</v>
      </c>
      <c r="E2221" s="195" t="s">
        <v>373</v>
      </c>
      <c r="F2221" s="71" t="s">
        <v>2510</v>
      </c>
      <c r="G2221" s="71" t="s">
        <v>2512</v>
      </c>
      <c r="H2221" s="71" t="s">
        <v>2708</v>
      </c>
      <c r="I2221" s="71" t="s">
        <v>1440</v>
      </c>
      <c r="J2221" s="71" t="s">
        <v>2466</v>
      </c>
    </row>
    <row r="2222" spans="1:10" ht="43.5" x14ac:dyDescent="0.35">
      <c r="A2222" s="195">
        <v>15</v>
      </c>
      <c r="B2222" s="195">
        <v>79</v>
      </c>
      <c r="C2222" s="195" t="s">
        <v>2746</v>
      </c>
      <c r="D2222" s="64">
        <v>1635</v>
      </c>
      <c r="E2222" s="195" t="s">
        <v>373</v>
      </c>
      <c r="F2222" s="71" t="s">
        <v>508</v>
      </c>
      <c r="G2222" s="71" t="s">
        <v>2512</v>
      </c>
      <c r="H2222" s="71" t="s">
        <v>2491</v>
      </c>
      <c r="I2222" s="71" t="s">
        <v>397</v>
      </c>
      <c r="J2222" s="71" t="s">
        <v>2466</v>
      </c>
    </row>
    <row r="2223" spans="1:10" ht="43.5" x14ac:dyDescent="0.35">
      <c r="A2223" s="195">
        <v>15</v>
      </c>
      <c r="B2223" s="195">
        <v>80</v>
      </c>
      <c r="C2223" s="195" t="s">
        <v>2749</v>
      </c>
      <c r="D2223" s="64">
        <v>6470</v>
      </c>
      <c r="E2223" s="195" t="s">
        <v>366</v>
      </c>
      <c r="F2223" s="71" t="s">
        <v>2508</v>
      </c>
      <c r="G2223" s="71" t="s">
        <v>2512</v>
      </c>
      <c r="H2223" s="71" t="s">
        <v>2708</v>
      </c>
      <c r="I2223" s="71" t="s">
        <v>1467</v>
      </c>
      <c r="J2223" s="71" t="s">
        <v>2443</v>
      </c>
    </row>
    <row r="2224" spans="1:10" ht="43.5" x14ac:dyDescent="0.35">
      <c r="A2224" s="195">
        <v>15</v>
      </c>
      <c r="B2224" s="195">
        <v>80</v>
      </c>
      <c r="C2224" s="195" t="s">
        <v>2748</v>
      </c>
      <c r="D2224" s="64">
        <v>3055</v>
      </c>
      <c r="E2224" s="195" t="s">
        <v>366</v>
      </c>
      <c r="F2224" s="71" t="s">
        <v>2510</v>
      </c>
      <c r="G2224" s="71" t="s">
        <v>2512</v>
      </c>
      <c r="H2224" s="71" t="s">
        <v>2708</v>
      </c>
      <c r="I2224" s="71" t="s">
        <v>1467</v>
      </c>
      <c r="J2224" s="71" t="s">
        <v>2443</v>
      </c>
    </row>
    <row r="2225" spans="1:10" ht="43.5" x14ac:dyDescent="0.35">
      <c r="A2225" s="195">
        <v>15</v>
      </c>
      <c r="B2225" s="195">
        <v>80</v>
      </c>
      <c r="C2225" s="195" t="s">
        <v>2747</v>
      </c>
      <c r="D2225" s="64">
        <v>9850</v>
      </c>
      <c r="E2225" s="195" t="s">
        <v>366</v>
      </c>
      <c r="F2225" s="71" t="s">
        <v>508</v>
      </c>
      <c r="G2225" s="71" t="s">
        <v>2512</v>
      </c>
      <c r="H2225" s="71" t="s">
        <v>2491</v>
      </c>
      <c r="I2225" s="71" t="s">
        <v>406</v>
      </c>
      <c r="J2225" s="71" t="s">
        <v>2443</v>
      </c>
    </row>
    <row r="2226" spans="1:10" ht="43.5" x14ac:dyDescent="0.35">
      <c r="A2226" s="195">
        <v>15</v>
      </c>
      <c r="B2226" s="195">
        <v>81</v>
      </c>
      <c r="C2226" s="195" t="s">
        <v>2752</v>
      </c>
      <c r="D2226" s="195">
        <v>915</v>
      </c>
      <c r="E2226" s="195" t="s">
        <v>373</v>
      </c>
      <c r="F2226" s="71" t="s">
        <v>2508</v>
      </c>
      <c r="G2226" s="71" t="s">
        <v>2512</v>
      </c>
      <c r="H2226" s="71" t="s">
        <v>2708</v>
      </c>
      <c r="I2226" s="71" t="s">
        <v>1467</v>
      </c>
      <c r="J2226" s="71" t="s">
        <v>2460</v>
      </c>
    </row>
    <row r="2227" spans="1:10" ht="43.5" x14ac:dyDescent="0.35">
      <c r="A2227" s="195">
        <v>15</v>
      </c>
      <c r="B2227" s="195">
        <v>81</v>
      </c>
      <c r="C2227" s="195" t="s">
        <v>2751</v>
      </c>
      <c r="D2227" s="64">
        <v>320</v>
      </c>
      <c r="E2227" s="195" t="s">
        <v>373</v>
      </c>
      <c r="F2227" s="71" t="s">
        <v>2510</v>
      </c>
      <c r="G2227" s="71" t="s">
        <v>2512</v>
      </c>
      <c r="H2227" s="71" t="s">
        <v>2708</v>
      </c>
      <c r="I2227" s="71" t="s">
        <v>1467</v>
      </c>
      <c r="J2227" s="71" t="s">
        <v>2460</v>
      </c>
    </row>
    <row r="2228" spans="1:10" ht="43.5" x14ac:dyDescent="0.35">
      <c r="A2228" s="195">
        <v>15</v>
      </c>
      <c r="B2228" s="195">
        <v>81</v>
      </c>
      <c r="C2228" s="195" t="s">
        <v>2750</v>
      </c>
      <c r="D2228" s="195">
        <v>6115</v>
      </c>
      <c r="E2228" s="195" t="s">
        <v>373</v>
      </c>
      <c r="F2228" s="71" t="s">
        <v>508</v>
      </c>
      <c r="G2228" s="71" t="s">
        <v>2512</v>
      </c>
      <c r="H2228" s="71" t="s">
        <v>2491</v>
      </c>
      <c r="I2228" s="71" t="s">
        <v>406</v>
      </c>
      <c r="J2228" s="71" t="s">
        <v>2460</v>
      </c>
    </row>
    <row r="2229" spans="1:10" ht="43.5" x14ac:dyDescent="0.35">
      <c r="A2229" s="195">
        <v>15</v>
      </c>
      <c r="B2229" s="195">
        <v>82</v>
      </c>
      <c r="C2229" s="195" t="s">
        <v>2754</v>
      </c>
      <c r="D2229" s="64">
        <v>2430</v>
      </c>
      <c r="E2229" s="195" t="s">
        <v>373</v>
      </c>
      <c r="F2229" s="71" t="s">
        <v>2508</v>
      </c>
      <c r="G2229" s="71" t="s">
        <v>2512</v>
      </c>
      <c r="H2229" s="71" t="s">
        <v>2708</v>
      </c>
      <c r="I2229" s="71" t="s">
        <v>1467</v>
      </c>
      <c r="J2229" s="71" t="s">
        <v>2463</v>
      </c>
    </row>
    <row r="2230" spans="1:10" ht="43.5" x14ac:dyDescent="0.35">
      <c r="A2230" s="195">
        <v>15</v>
      </c>
      <c r="B2230" s="195">
        <v>82</v>
      </c>
      <c r="C2230" s="195" t="s">
        <v>2755</v>
      </c>
      <c r="D2230" s="64">
        <v>1480</v>
      </c>
      <c r="E2230" s="195" t="s">
        <v>373</v>
      </c>
      <c r="F2230" s="71" t="s">
        <v>2510</v>
      </c>
      <c r="G2230" s="71" t="s">
        <v>2512</v>
      </c>
      <c r="H2230" s="71" t="s">
        <v>2708</v>
      </c>
      <c r="I2230" s="71" t="s">
        <v>1467</v>
      </c>
      <c r="J2230" s="71" t="s">
        <v>2463</v>
      </c>
    </row>
    <row r="2231" spans="1:10" ht="43.5" x14ac:dyDescent="0.35">
      <c r="A2231" s="195">
        <v>15</v>
      </c>
      <c r="B2231" s="195">
        <v>82</v>
      </c>
      <c r="C2231" s="195" t="s">
        <v>2753</v>
      </c>
      <c r="D2231" s="64">
        <v>2795</v>
      </c>
      <c r="E2231" s="195" t="s">
        <v>373</v>
      </c>
      <c r="F2231" s="71" t="s">
        <v>508</v>
      </c>
      <c r="G2231" s="71" t="s">
        <v>2512</v>
      </c>
      <c r="H2231" s="71" t="s">
        <v>2491</v>
      </c>
      <c r="I2231" s="71" t="s">
        <v>406</v>
      </c>
      <c r="J2231" s="71" t="s">
        <v>2463</v>
      </c>
    </row>
    <row r="2232" spans="1:10" ht="43.5" x14ac:dyDescent="0.35">
      <c r="A2232" s="195">
        <v>15</v>
      </c>
      <c r="B2232" s="195">
        <v>83</v>
      </c>
      <c r="C2232" s="195" t="s">
        <v>2758</v>
      </c>
      <c r="D2232" s="64">
        <v>3125</v>
      </c>
      <c r="E2232" s="195" t="s">
        <v>373</v>
      </c>
      <c r="F2232" s="71" t="s">
        <v>2508</v>
      </c>
      <c r="G2232" s="71" t="s">
        <v>2512</v>
      </c>
      <c r="H2232" s="71" t="s">
        <v>2708</v>
      </c>
      <c r="I2232" s="71" t="s">
        <v>1467</v>
      </c>
      <c r="J2232" s="71" t="s">
        <v>2466</v>
      </c>
    </row>
    <row r="2233" spans="1:10" ht="43.5" x14ac:dyDescent="0.35">
      <c r="A2233" s="195">
        <v>15</v>
      </c>
      <c r="B2233" s="195">
        <v>83</v>
      </c>
      <c r="C2233" s="195" t="s">
        <v>2756</v>
      </c>
      <c r="D2233" s="64">
        <v>1255</v>
      </c>
      <c r="E2233" s="195" t="s">
        <v>373</v>
      </c>
      <c r="F2233" s="71" t="s">
        <v>2510</v>
      </c>
      <c r="G2233" s="71" t="s">
        <v>2512</v>
      </c>
      <c r="H2233" s="71" t="s">
        <v>2708</v>
      </c>
      <c r="I2233" s="71" t="s">
        <v>1467</v>
      </c>
      <c r="J2233" s="71" t="s">
        <v>2466</v>
      </c>
    </row>
    <row r="2234" spans="1:10" ht="43.5" x14ac:dyDescent="0.35">
      <c r="A2234" s="195">
        <v>15</v>
      </c>
      <c r="B2234" s="195">
        <v>83</v>
      </c>
      <c r="C2234" s="195" t="s">
        <v>2757</v>
      </c>
      <c r="D2234" s="64">
        <v>940</v>
      </c>
      <c r="E2234" s="195" t="s">
        <v>373</v>
      </c>
      <c r="F2234" s="71" t="s">
        <v>508</v>
      </c>
      <c r="G2234" s="71" t="s">
        <v>2512</v>
      </c>
      <c r="H2234" s="71" t="s">
        <v>2491</v>
      </c>
      <c r="I2234" s="71" t="s">
        <v>406</v>
      </c>
      <c r="J2234" s="71" t="s">
        <v>2466</v>
      </c>
    </row>
    <row r="2235" spans="1:10" ht="43.5" x14ac:dyDescent="0.35">
      <c r="A2235" s="195">
        <v>15</v>
      </c>
      <c r="B2235" s="195">
        <v>84</v>
      </c>
      <c r="C2235" s="195" t="s">
        <v>2760</v>
      </c>
      <c r="D2235" s="64">
        <v>98250</v>
      </c>
      <c r="E2235" s="195" t="s">
        <v>366</v>
      </c>
      <c r="F2235" s="71" t="s">
        <v>2508</v>
      </c>
      <c r="G2235" s="71" t="s">
        <v>2512</v>
      </c>
      <c r="H2235" s="71" t="s">
        <v>2708</v>
      </c>
      <c r="I2235" s="71" t="s">
        <v>1494</v>
      </c>
      <c r="J2235" s="71" t="s">
        <v>2443</v>
      </c>
    </row>
    <row r="2236" spans="1:10" ht="43.5" x14ac:dyDescent="0.35">
      <c r="A2236" s="195">
        <v>15</v>
      </c>
      <c r="B2236" s="195">
        <v>84</v>
      </c>
      <c r="C2236" s="195" t="s">
        <v>2761</v>
      </c>
      <c r="D2236" s="64">
        <v>23660</v>
      </c>
      <c r="E2236" s="195" t="s">
        <v>366</v>
      </c>
      <c r="F2236" s="71" t="s">
        <v>2510</v>
      </c>
      <c r="G2236" s="71" t="s">
        <v>2512</v>
      </c>
      <c r="H2236" s="71" t="s">
        <v>2708</v>
      </c>
      <c r="I2236" s="71" t="s">
        <v>1494</v>
      </c>
      <c r="J2236" s="71" t="s">
        <v>2443</v>
      </c>
    </row>
    <row r="2237" spans="1:10" ht="29" x14ac:dyDescent="0.35">
      <c r="A2237" s="195">
        <v>15</v>
      </c>
      <c r="B2237" s="195">
        <v>84</v>
      </c>
      <c r="C2237" s="195" t="s">
        <v>2759</v>
      </c>
      <c r="D2237" s="64">
        <v>74145</v>
      </c>
      <c r="E2237" s="195" t="s">
        <v>366</v>
      </c>
      <c r="F2237" s="71" t="s">
        <v>508</v>
      </c>
      <c r="G2237" s="71" t="s">
        <v>2512</v>
      </c>
      <c r="H2237" s="71" t="s">
        <v>2491</v>
      </c>
      <c r="I2237" s="71" t="s">
        <v>415</v>
      </c>
      <c r="J2237" s="71" t="s">
        <v>2443</v>
      </c>
    </row>
    <row r="2238" spans="1:10" ht="43.5" x14ac:dyDescent="0.35">
      <c r="A2238" s="195">
        <v>15</v>
      </c>
      <c r="B2238" s="195">
        <v>85</v>
      </c>
      <c r="C2238" s="195" t="s">
        <v>2764</v>
      </c>
      <c r="D2238" s="64">
        <v>10025</v>
      </c>
      <c r="E2238" s="195" t="s">
        <v>373</v>
      </c>
      <c r="F2238" s="71" t="s">
        <v>2508</v>
      </c>
      <c r="G2238" s="71" t="s">
        <v>2512</v>
      </c>
      <c r="H2238" s="71" t="s">
        <v>2708</v>
      </c>
      <c r="I2238" s="71" t="s">
        <v>1494</v>
      </c>
      <c r="J2238" s="71" t="s">
        <v>2460</v>
      </c>
    </row>
    <row r="2239" spans="1:10" ht="43.5" x14ac:dyDescent="0.35">
      <c r="A2239" s="195">
        <v>15</v>
      </c>
      <c r="B2239" s="195">
        <v>85</v>
      </c>
      <c r="C2239" s="195" t="s">
        <v>2762</v>
      </c>
      <c r="D2239" s="64">
        <v>2400</v>
      </c>
      <c r="E2239" s="195" t="s">
        <v>373</v>
      </c>
      <c r="F2239" s="71" t="s">
        <v>2510</v>
      </c>
      <c r="G2239" s="71" t="s">
        <v>2512</v>
      </c>
      <c r="H2239" s="71" t="s">
        <v>2708</v>
      </c>
      <c r="I2239" s="71" t="s">
        <v>1494</v>
      </c>
      <c r="J2239" s="71" t="s">
        <v>2460</v>
      </c>
    </row>
    <row r="2240" spans="1:10" ht="29" x14ac:dyDescent="0.35">
      <c r="A2240" s="195">
        <v>15</v>
      </c>
      <c r="B2240" s="195">
        <v>85</v>
      </c>
      <c r="C2240" s="195" t="s">
        <v>2763</v>
      </c>
      <c r="D2240" s="64">
        <v>32975</v>
      </c>
      <c r="E2240" s="195" t="s">
        <v>373</v>
      </c>
      <c r="F2240" s="71" t="s">
        <v>508</v>
      </c>
      <c r="G2240" s="71" t="s">
        <v>2512</v>
      </c>
      <c r="H2240" s="71" t="s">
        <v>2491</v>
      </c>
      <c r="I2240" s="71" t="s">
        <v>415</v>
      </c>
      <c r="J2240" s="71" t="s">
        <v>2460</v>
      </c>
    </row>
    <row r="2241" spans="1:10" ht="43.5" x14ac:dyDescent="0.35">
      <c r="A2241" s="195">
        <v>15</v>
      </c>
      <c r="B2241" s="195">
        <v>86</v>
      </c>
      <c r="C2241" s="195" t="s">
        <v>2767</v>
      </c>
      <c r="D2241" s="64">
        <v>33265</v>
      </c>
      <c r="E2241" s="195" t="s">
        <v>373</v>
      </c>
      <c r="F2241" s="71" t="s">
        <v>2508</v>
      </c>
      <c r="G2241" s="71" t="s">
        <v>2512</v>
      </c>
      <c r="H2241" s="71" t="s">
        <v>2708</v>
      </c>
      <c r="I2241" s="71" t="s">
        <v>1494</v>
      </c>
      <c r="J2241" s="71" t="s">
        <v>2463</v>
      </c>
    </row>
    <row r="2242" spans="1:10" ht="43.5" x14ac:dyDescent="0.35">
      <c r="A2242" s="195">
        <v>15</v>
      </c>
      <c r="B2242" s="195">
        <v>86</v>
      </c>
      <c r="C2242" s="195" t="s">
        <v>2766</v>
      </c>
      <c r="D2242" s="64">
        <v>7535</v>
      </c>
      <c r="E2242" s="195" t="s">
        <v>373</v>
      </c>
      <c r="F2242" s="71" t="s">
        <v>2510</v>
      </c>
      <c r="G2242" s="71" t="s">
        <v>2512</v>
      </c>
      <c r="H2242" s="71" t="s">
        <v>2708</v>
      </c>
      <c r="I2242" s="71" t="s">
        <v>1494</v>
      </c>
      <c r="J2242" s="71" t="s">
        <v>2463</v>
      </c>
    </row>
    <row r="2243" spans="1:10" ht="29" x14ac:dyDescent="0.35">
      <c r="A2243" s="195">
        <v>15</v>
      </c>
      <c r="B2243" s="195">
        <v>86</v>
      </c>
      <c r="C2243" s="195" t="s">
        <v>2765</v>
      </c>
      <c r="D2243" s="64">
        <v>29080</v>
      </c>
      <c r="E2243" s="195" t="s">
        <v>373</v>
      </c>
      <c r="F2243" s="71" t="s">
        <v>508</v>
      </c>
      <c r="G2243" s="71" t="s">
        <v>2512</v>
      </c>
      <c r="H2243" s="71" t="s">
        <v>2491</v>
      </c>
      <c r="I2243" s="71" t="s">
        <v>415</v>
      </c>
      <c r="J2243" s="71" t="s">
        <v>2463</v>
      </c>
    </row>
    <row r="2244" spans="1:10" ht="43.5" x14ac:dyDescent="0.35">
      <c r="A2244" s="195">
        <v>15</v>
      </c>
      <c r="B2244" s="195">
        <v>87</v>
      </c>
      <c r="C2244" s="195" t="s">
        <v>2768</v>
      </c>
      <c r="D2244" s="64">
        <v>54960</v>
      </c>
      <c r="E2244" s="195" t="s">
        <v>373</v>
      </c>
      <c r="F2244" s="71" t="s">
        <v>2508</v>
      </c>
      <c r="G2244" s="71" t="s">
        <v>2512</v>
      </c>
      <c r="H2244" s="71" t="s">
        <v>2708</v>
      </c>
      <c r="I2244" s="71" t="s">
        <v>1494</v>
      </c>
      <c r="J2244" s="71" t="s">
        <v>2466</v>
      </c>
    </row>
    <row r="2245" spans="1:10" ht="43.5" x14ac:dyDescent="0.35">
      <c r="A2245" s="195">
        <v>15</v>
      </c>
      <c r="B2245" s="195">
        <v>87</v>
      </c>
      <c r="C2245" s="195" t="s">
        <v>2769</v>
      </c>
      <c r="D2245" s="64">
        <v>13725</v>
      </c>
      <c r="E2245" s="195" t="s">
        <v>373</v>
      </c>
      <c r="F2245" s="71" t="s">
        <v>2510</v>
      </c>
      <c r="G2245" s="71" t="s">
        <v>2512</v>
      </c>
      <c r="H2245" s="71" t="s">
        <v>2708</v>
      </c>
      <c r="I2245" s="71" t="s">
        <v>1494</v>
      </c>
      <c r="J2245" s="71" t="s">
        <v>2466</v>
      </c>
    </row>
    <row r="2246" spans="1:10" ht="29" x14ac:dyDescent="0.35">
      <c r="A2246" s="195">
        <v>15</v>
      </c>
      <c r="B2246" s="195">
        <v>87</v>
      </c>
      <c r="C2246" s="195" t="s">
        <v>2770</v>
      </c>
      <c r="D2246" s="64">
        <v>12085</v>
      </c>
      <c r="E2246" s="195" t="s">
        <v>373</v>
      </c>
      <c r="F2246" s="71" t="s">
        <v>508</v>
      </c>
      <c r="G2246" s="71" t="s">
        <v>2512</v>
      </c>
      <c r="H2246" s="71" t="s">
        <v>2491</v>
      </c>
      <c r="I2246" s="71" t="s">
        <v>415</v>
      </c>
      <c r="J2246" s="71" t="s">
        <v>2466</v>
      </c>
    </row>
    <row r="2247" spans="1:10" ht="29" x14ac:dyDescent="0.35">
      <c r="A2247" s="195">
        <v>16</v>
      </c>
      <c r="B2247" s="195">
        <v>1</v>
      </c>
      <c r="C2247" s="195" t="s">
        <v>2771</v>
      </c>
      <c r="D2247" s="64">
        <v>1042580</v>
      </c>
      <c r="E2247" s="195" t="s">
        <v>26</v>
      </c>
      <c r="F2247" s="71" t="s">
        <v>361</v>
      </c>
      <c r="G2247" s="71" t="s">
        <v>363</v>
      </c>
      <c r="H2247" s="71" t="s">
        <v>982</v>
      </c>
      <c r="I2247" s="71" t="s">
        <v>2772</v>
      </c>
    </row>
    <row r="2248" spans="1:10" x14ac:dyDescent="0.35">
      <c r="A2248" s="195">
        <v>16</v>
      </c>
      <c r="B2248" s="195">
        <v>2</v>
      </c>
      <c r="C2248" s="195" t="s">
        <v>2773</v>
      </c>
      <c r="D2248" s="64">
        <v>459890</v>
      </c>
      <c r="E2248" s="195" t="s">
        <v>366</v>
      </c>
      <c r="F2248" s="71" t="s">
        <v>367</v>
      </c>
      <c r="G2248" s="71" t="s">
        <v>363</v>
      </c>
      <c r="H2248" s="71" t="s">
        <v>982</v>
      </c>
      <c r="I2248" s="71" t="s">
        <v>2772</v>
      </c>
    </row>
    <row r="2249" spans="1:10" ht="29" x14ac:dyDescent="0.35">
      <c r="A2249" s="195">
        <v>16</v>
      </c>
      <c r="B2249" s="195">
        <v>3</v>
      </c>
      <c r="C2249" s="195" t="s">
        <v>2774</v>
      </c>
      <c r="D2249" s="64">
        <v>48445</v>
      </c>
      <c r="E2249" s="195" t="s">
        <v>366</v>
      </c>
      <c r="F2249" s="71" t="s">
        <v>367</v>
      </c>
      <c r="G2249" s="71" t="s">
        <v>371</v>
      </c>
      <c r="H2249" s="71" t="s">
        <v>982</v>
      </c>
      <c r="I2249" s="71" t="s">
        <v>2772</v>
      </c>
    </row>
    <row r="2250" spans="1:10" ht="43.5" x14ac:dyDescent="0.35">
      <c r="A2250" s="195">
        <v>16</v>
      </c>
      <c r="B2250" s="195">
        <v>4</v>
      </c>
      <c r="C2250" s="195" t="s">
        <v>2775</v>
      </c>
      <c r="D2250" s="64">
        <v>6855</v>
      </c>
      <c r="E2250" s="195" t="s">
        <v>366</v>
      </c>
      <c r="F2250" s="71" t="s">
        <v>367</v>
      </c>
      <c r="G2250" s="71" t="s">
        <v>371</v>
      </c>
      <c r="H2250" s="71" t="s">
        <v>2776</v>
      </c>
      <c r="I2250" s="71" t="s">
        <v>2772</v>
      </c>
    </row>
    <row r="2251" spans="1:10" ht="43.5" x14ac:dyDescent="0.35">
      <c r="A2251" s="195">
        <v>16</v>
      </c>
      <c r="B2251" s="195">
        <v>5</v>
      </c>
      <c r="C2251" s="195" t="s">
        <v>2777</v>
      </c>
      <c r="D2251" s="64">
        <v>5615</v>
      </c>
      <c r="E2251" s="195" t="s">
        <v>373</v>
      </c>
      <c r="F2251" s="71" t="s">
        <v>367</v>
      </c>
      <c r="G2251" s="71" t="s">
        <v>371</v>
      </c>
      <c r="H2251" s="71" t="s">
        <v>2776</v>
      </c>
      <c r="I2251" s="71" t="s">
        <v>2778</v>
      </c>
    </row>
    <row r="2252" spans="1:10" ht="43.5" x14ac:dyDescent="0.35">
      <c r="A2252" s="195">
        <v>16</v>
      </c>
      <c r="B2252" s="195">
        <v>6</v>
      </c>
      <c r="C2252" s="195" t="s">
        <v>2779</v>
      </c>
      <c r="D2252" s="64">
        <v>850</v>
      </c>
      <c r="E2252" s="195" t="s">
        <v>373</v>
      </c>
      <c r="F2252" s="71" t="s">
        <v>367</v>
      </c>
      <c r="G2252" s="71" t="s">
        <v>371</v>
      </c>
      <c r="H2252" s="71" t="s">
        <v>2776</v>
      </c>
      <c r="I2252" s="71" t="s">
        <v>2780</v>
      </c>
    </row>
    <row r="2253" spans="1:10" ht="43.5" x14ac:dyDescent="0.35">
      <c r="A2253" s="195">
        <v>16</v>
      </c>
      <c r="B2253" s="195">
        <v>7</v>
      </c>
      <c r="C2253" s="195" t="s">
        <v>2781</v>
      </c>
      <c r="D2253" s="195">
        <v>390</v>
      </c>
      <c r="E2253" s="195" t="s">
        <v>373</v>
      </c>
      <c r="F2253" s="71" t="s">
        <v>367</v>
      </c>
      <c r="G2253" s="71" t="s">
        <v>371</v>
      </c>
      <c r="H2253" s="71" t="s">
        <v>2776</v>
      </c>
      <c r="I2253" s="71" t="s">
        <v>2782</v>
      </c>
    </row>
    <row r="2254" spans="1:10" ht="43.5" x14ac:dyDescent="0.35">
      <c r="A2254" s="195">
        <v>16</v>
      </c>
      <c r="B2254" s="195">
        <v>8</v>
      </c>
      <c r="C2254" s="195" t="s">
        <v>2783</v>
      </c>
      <c r="D2254" s="64">
        <v>11505</v>
      </c>
      <c r="E2254" s="195" t="s">
        <v>366</v>
      </c>
      <c r="F2254" s="71" t="s">
        <v>367</v>
      </c>
      <c r="G2254" s="71" t="s">
        <v>371</v>
      </c>
      <c r="H2254" s="71" t="s">
        <v>2784</v>
      </c>
      <c r="I2254" s="71" t="s">
        <v>2772</v>
      </c>
    </row>
    <row r="2255" spans="1:10" ht="43.5" x14ac:dyDescent="0.35">
      <c r="A2255" s="195">
        <v>16</v>
      </c>
      <c r="B2255" s="195">
        <v>9</v>
      </c>
      <c r="C2255" s="195" t="s">
        <v>2785</v>
      </c>
      <c r="D2255" s="64">
        <v>9635</v>
      </c>
      <c r="E2255" s="195" t="s">
        <v>373</v>
      </c>
      <c r="F2255" s="71" t="s">
        <v>367</v>
      </c>
      <c r="G2255" s="71" t="s">
        <v>371</v>
      </c>
      <c r="H2255" s="71" t="s">
        <v>2784</v>
      </c>
      <c r="I2255" s="71" t="s">
        <v>2778</v>
      </c>
    </row>
    <row r="2256" spans="1:10" ht="43.5" x14ac:dyDescent="0.35">
      <c r="A2256" s="195">
        <v>16</v>
      </c>
      <c r="B2256" s="195">
        <v>10</v>
      </c>
      <c r="C2256" s="195" t="s">
        <v>2786</v>
      </c>
      <c r="D2256" s="64">
        <v>905</v>
      </c>
      <c r="E2256" s="195" t="s">
        <v>373</v>
      </c>
      <c r="F2256" s="71" t="s">
        <v>367</v>
      </c>
      <c r="G2256" s="71" t="s">
        <v>371</v>
      </c>
      <c r="H2256" s="71" t="s">
        <v>2784</v>
      </c>
      <c r="I2256" s="71" t="s">
        <v>2780</v>
      </c>
    </row>
    <row r="2257" spans="1:9" ht="43.5" x14ac:dyDescent="0.35">
      <c r="A2257" s="195">
        <v>16</v>
      </c>
      <c r="B2257" s="195">
        <v>11</v>
      </c>
      <c r="C2257" s="195" t="s">
        <v>2787</v>
      </c>
      <c r="D2257" s="64">
        <v>965</v>
      </c>
      <c r="E2257" s="195" t="s">
        <v>373</v>
      </c>
      <c r="F2257" s="71" t="s">
        <v>367</v>
      </c>
      <c r="G2257" s="71" t="s">
        <v>371</v>
      </c>
      <c r="H2257" s="71" t="s">
        <v>2784</v>
      </c>
      <c r="I2257" s="71" t="s">
        <v>2782</v>
      </c>
    </row>
    <row r="2258" spans="1:9" ht="29" x14ac:dyDescent="0.35">
      <c r="A2258" s="195">
        <v>16</v>
      </c>
      <c r="B2258" s="195">
        <v>12</v>
      </c>
      <c r="C2258" s="195" t="s">
        <v>2788</v>
      </c>
      <c r="D2258" s="64">
        <v>3975</v>
      </c>
      <c r="E2258" s="195" t="s">
        <v>366</v>
      </c>
      <c r="F2258" s="71" t="s">
        <v>367</v>
      </c>
      <c r="G2258" s="71" t="s">
        <v>371</v>
      </c>
      <c r="H2258" s="71" t="s">
        <v>2789</v>
      </c>
      <c r="I2258" s="71" t="s">
        <v>2772</v>
      </c>
    </row>
    <row r="2259" spans="1:9" ht="29" x14ac:dyDescent="0.35">
      <c r="A2259" s="195">
        <v>16</v>
      </c>
      <c r="B2259" s="195">
        <v>13</v>
      </c>
      <c r="C2259" s="195" t="s">
        <v>2790</v>
      </c>
      <c r="D2259" s="64">
        <v>3615</v>
      </c>
      <c r="E2259" s="195" t="s">
        <v>373</v>
      </c>
      <c r="F2259" s="71" t="s">
        <v>367</v>
      </c>
      <c r="G2259" s="71" t="s">
        <v>371</v>
      </c>
      <c r="H2259" s="71" t="s">
        <v>2789</v>
      </c>
      <c r="I2259" s="71" t="s">
        <v>2778</v>
      </c>
    </row>
    <row r="2260" spans="1:9" ht="29" x14ac:dyDescent="0.35">
      <c r="A2260" s="195">
        <v>16</v>
      </c>
      <c r="B2260" s="195">
        <v>14</v>
      </c>
      <c r="C2260" s="195" t="s">
        <v>2791</v>
      </c>
      <c r="D2260" s="195">
        <v>290</v>
      </c>
      <c r="E2260" s="195" t="s">
        <v>373</v>
      </c>
      <c r="F2260" s="71" t="s">
        <v>367</v>
      </c>
      <c r="G2260" s="71" t="s">
        <v>371</v>
      </c>
      <c r="H2260" s="71" t="s">
        <v>2789</v>
      </c>
      <c r="I2260" s="71" t="s">
        <v>2780</v>
      </c>
    </row>
    <row r="2261" spans="1:9" ht="43.5" x14ac:dyDescent="0.35">
      <c r="A2261" s="195">
        <v>16</v>
      </c>
      <c r="B2261" s="195">
        <v>15</v>
      </c>
      <c r="C2261" s="195" t="s">
        <v>2792</v>
      </c>
      <c r="D2261" s="195">
        <v>65</v>
      </c>
      <c r="E2261" s="195" t="s">
        <v>373</v>
      </c>
      <c r="F2261" s="71" t="s">
        <v>367</v>
      </c>
      <c r="G2261" s="71" t="s">
        <v>371</v>
      </c>
      <c r="H2261" s="71" t="s">
        <v>2789</v>
      </c>
      <c r="I2261" s="71" t="s">
        <v>2782</v>
      </c>
    </row>
    <row r="2262" spans="1:9" ht="58" x14ac:dyDescent="0.35">
      <c r="A2262" s="195">
        <v>16</v>
      </c>
      <c r="B2262" s="195">
        <v>16</v>
      </c>
      <c r="C2262" s="195" t="s">
        <v>2793</v>
      </c>
      <c r="D2262" s="64">
        <v>16435</v>
      </c>
      <c r="E2262" s="195" t="s">
        <v>366</v>
      </c>
      <c r="F2262" s="71" t="s">
        <v>367</v>
      </c>
      <c r="G2262" s="71" t="s">
        <v>371</v>
      </c>
      <c r="H2262" s="71" t="s">
        <v>2794</v>
      </c>
      <c r="I2262" s="71" t="s">
        <v>2772</v>
      </c>
    </row>
    <row r="2263" spans="1:9" ht="58" x14ac:dyDescent="0.35">
      <c r="A2263" s="195">
        <v>16</v>
      </c>
      <c r="B2263" s="195">
        <v>17</v>
      </c>
      <c r="C2263" s="195" t="s">
        <v>2795</v>
      </c>
      <c r="D2263" s="64">
        <v>13205</v>
      </c>
      <c r="E2263" s="195" t="s">
        <v>373</v>
      </c>
      <c r="F2263" s="71" t="s">
        <v>367</v>
      </c>
      <c r="G2263" s="71" t="s">
        <v>371</v>
      </c>
      <c r="H2263" s="71" t="s">
        <v>2794</v>
      </c>
      <c r="I2263" s="71" t="s">
        <v>2778</v>
      </c>
    </row>
    <row r="2264" spans="1:9" ht="58" x14ac:dyDescent="0.35">
      <c r="A2264" s="195">
        <v>16</v>
      </c>
      <c r="B2264" s="195">
        <v>18</v>
      </c>
      <c r="C2264" s="195" t="s">
        <v>2796</v>
      </c>
      <c r="D2264" s="64">
        <v>2125</v>
      </c>
      <c r="E2264" s="195" t="s">
        <v>373</v>
      </c>
      <c r="F2264" s="71" t="s">
        <v>367</v>
      </c>
      <c r="G2264" s="71" t="s">
        <v>371</v>
      </c>
      <c r="H2264" s="71" t="s">
        <v>2794</v>
      </c>
      <c r="I2264" s="71" t="s">
        <v>2780</v>
      </c>
    </row>
    <row r="2265" spans="1:9" ht="58" x14ac:dyDescent="0.35">
      <c r="A2265" s="195">
        <v>16</v>
      </c>
      <c r="B2265" s="195">
        <v>19</v>
      </c>
      <c r="C2265" s="195" t="s">
        <v>2797</v>
      </c>
      <c r="D2265" s="64">
        <v>1105</v>
      </c>
      <c r="E2265" s="195" t="s">
        <v>373</v>
      </c>
      <c r="F2265" s="71" t="s">
        <v>367</v>
      </c>
      <c r="G2265" s="71" t="s">
        <v>371</v>
      </c>
      <c r="H2265" s="71" t="s">
        <v>2794</v>
      </c>
      <c r="I2265" s="71" t="s">
        <v>2782</v>
      </c>
    </row>
    <row r="2266" spans="1:9" ht="29" x14ac:dyDescent="0.35">
      <c r="A2266" s="195">
        <v>16</v>
      </c>
      <c r="B2266" s="195">
        <v>20</v>
      </c>
      <c r="C2266" s="195" t="s">
        <v>2798</v>
      </c>
      <c r="D2266" s="64">
        <v>9675</v>
      </c>
      <c r="E2266" s="195" t="s">
        <v>366</v>
      </c>
      <c r="F2266" s="71" t="s">
        <v>367</v>
      </c>
      <c r="G2266" s="71" t="s">
        <v>371</v>
      </c>
      <c r="H2266" s="71" t="s">
        <v>2799</v>
      </c>
      <c r="I2266" s="71" t="s">
        <v>2772</v>
      </c>
    </row>
    <row r="2267" spans="1:9" ht="29" x14ac:dyDescent="0.35">
      <c r="A2267" s="195">
        <v>16</v>
      </c>
      <c r="B2267" s="195">
        <v>21</v>
      </c>
      <c r="C2267" s="195" t="s">
        <v>2800</v>
      </c>
      <c r="D2267" s="64">
        <v>7240</v>
      </c>
      <c r="E2267" s="195" t="s">
        <v>373</v>
      </c>
      <c r="F2267" s="71" t="s">
        <v>367</v>
      </c>
      <c r="G2267" s="71" t="s">
        <v>371</v>
      </c>
      <c r="H2267" s="71" t="s">
        <v>2799</v>
      </c>
      <c r="I2267" s="71" t="s">
        <v>2778</v>
      </c>
    </row>
    <row r="2268" spans="1:9" ht="29" x14ac:dyDescent="0.35">
      <c r="A2268" s="195">
        <v>16</v>
      </c>
      <c r="B2268" s="195">
        <v>22</v>
      </c>
      <c r="C2268" s="195" t="s">
        <v>2801</v>
      </c>
      <c r="D2268" s="195">
        <v>415</v>
      </c>
      <c r="E2268" s="195" t="s">
        <v>373</v>
      </c>
      <c r="F2268" s="71" t="s">
        <v>367</v>
      </c>
      <c r="G2268" s="71" t="s">
        <v>371</v>
      </c>
      <c r="H2268" s="71" t="s">
        <v>2799</v>
      </c>
      <c r="I2268" s="71" t="s">
        <v>2780</v>
      </c>
    </row>
    <row r="2269" spans="1:9" ht="43.5" x14ac:dyDescent="0.35">
      <c r="A2269" s="195">
        <v>16</v>
      </c>
      <c r="B2269" s="195">
        <v>23</v>
      </c>
      <c r="C2269" s="195" t="s">
        <v>2802</v>
      </c>
      <c r="D2269" s="64">
        <v>2020</v>
      </c>
      <c r="E2269" s="195" t="s">
        <v>373</v>
      </c>
      <c r="F2269" s="71" t="s">
        <v>367</v>
      </c>
      <c r="G2269" s="71" t="s">
        <v>371</v>
      </c>
      <c r="H2269" s="71" t="s">
        <v>2799</v>
      </c>
      <c r="I2269" s="71" t="s">
        <v>2782</v>
      </c>
    </row>
    <row r="2270" spans="1:9" ht="43.5" x14ac:dyDescent="0.35">
      <c r="A2270" s="195">
        <v>16</v>
      </c>
      <c r="B2270" s="195">
        <v>24</v>
      </c>
      <c r="C2270" s="195" t="s">
        <v>2803</v>
      </c>
      <c r="D2270" s="64">
        <v>51695</v>
      </c>
      <c r="E2270" s="195" t="s">
        <v>366</v>
      </c>
      <c r="F2270" s="71" t="s">
        <v>367</v>
      </c>
      <c r="G2270" s="71" t="s">
        <v>388</v>
      </c>
      <c r="H2270" s="71" t="s">
        <v>982</v>
      </c>
      <c r="I2270" s="71" t="s">
        <v>2772</v>
      </c>
    </row>
    <row r="2271" spans="1:9" ht="43.5" x14ac:dyDescent="0.35">
      <c r="A2271" s="195">
        <v>16</v>
      </c>
      <c r="B2271" s="195">
        <v>25</v>
      </c>
      <c r="C2271" s="195" t="s">
        <v>2804</v>
      </c>
      <c r="D2271" s="64">
        <v>10055</v>
      </c>
      <c r="E2271" s="195" t="s">
        <v>366</v>
      </c>
      <c r="F2271" s="71" t="s">
        <v>367</v>
      </c>
      <c r="G2271" s="71" t="s">
        <v>2805</v>
      </c>
      <c r="H2271" s="71" t="s">
        <v>2776</v>
      </c>
      <c r="I2271" s="71" t="s">
        <v>2772</v>
      </c>
    </row>
    <row r="2272" spans="1:9" ht="43.5" x14ac:dyDescent="0.35">
      <c r="A2272" s="195">
        <v>16</v>
      </c>
      <c r="B2272" s="195">
        <v>26</v>
      </c>
      <c r="C2272" s="195" t="s">
        <v>2806</v>
      </c>
      <c r="D2272" s="64">
        <v>5855</v>
      </c>
      <c r="E2272" s="195" t="s">
        <v>373</v>
      </c>
      <c r="F2272" s="71" t="s">
        <v>367</v>
      </c>
      <c r="G2272" s="71" t="s">
        <v>2805</v>
      </c>
      <c r="H2272" s="71" t="s">
        <v>2776</v>
      </c>
      <c r="I2272" s="71" t="s">
        <v>2778</v>
      </c>
    </row>
    <row r="2273" spans="1:9" ht="43.5" x14ac:dyDescent="0.35">
      <c r="A2273" s="195">
        <v>16</v>
      </c>
      <c r="B2273" s="195">
        <v>27</v>
      </c>
      <c r="C2273" s="195" t="s">
        <v>2807</v>
      </c>
      <c r="D2273" s="64">
        <v>4200</v>
      </c>
      <c r="E2273" s="195" t="s">
        <v>373</v>
      </c>
      <c r="F2273" s="71" t="s">
        <v>367</v>
      </c>
      <c r="G2273" s="71" t="s">
        <v>2805</v>
      </c>
      <c r="H2273" s="71" t="s">
        <v>2776</v>
      </c>
      <c r="I2273" s="71" t="s">
        <v>2780</v>
      </c>
    </row>
    <row r="2274" spans="1:9" ht="43.5" x14ac:dyDescent="0.35">
      <c r="A2274" s="195">
        <v>16</v>
      </c>
      <c r="B2274" s="195">
        <v>28</v>
      </c>
      <c r="C2274" s="195" t="s">
        <v>2808</v>
      </c>
      <c r="D2274" s="195">
        <v>0</v>
      </c>
      <c r="E2274" s="195" t="s">
        <v>373</v>
      </c>
      <c r="F2274" s="71" t="s">
        <v>367</v>
      </c>
      <c r="G2274" s="71" t="s">
        <v>2805</v>
      </c>
      <c r="H2274" s="71" t="s">
        <v>2776</v>
      </c>
      <c r="I2274" s="71" t="s">
        <v>2782</v>
      </c>
    </row>
    <row r="2275" spans="1:9" ht="43.5" x14ac:dyDescent="0.35">
      <c r="A2275" s="195">
        <v>16</v>
      </c>
      <c r="B2275" s="195">
        <v>29</v>
      </c>
      <c r="C2275" s="195" t="s">
        <v>2809</v>
      </c>
      <c r="D2275" s="64">
        <v>14970</v>
      </c>
      <c r="E2275" s="195" t="s">
        <v>366</v>
      </c>
      <c r="F2275" s="71" t="s">
        <v>367</v>
      </c>
      <c r="G2275" s="71" t="s">
        <v>388</v>
      </c>
      <c r="H2275" s="71" t="s">
        <v>2784</v>
      </c>
      <c r="I2275" s="71" t="s">
        <v>2772</v>
      </c>
    </row>
    <row r="2276" spans="1:9" ht="43.5" x14ac:dyDescent="0.35">
      <c r="A2276" s="195">
        <v>16</v>
      </c>
      <c r="B2276" s="195">
        <v>30</v>
      </c>
      <c r="C2276" s="195" t="s">
        <v>2810</v>
      </c>
      <c r="D2276" s="64">
        <v>11055</v>
      </c>
      <c r="E2276" s="195" t="s">
        <v>373</v>
      </c>
      <c r="F2276" s="71" t="s">
        <v>367</v>
      </c>
      <c r="G2276" s="71" t="s">
        <v>388</v>
      </c>
      <c r="H2276" s="71" t="s">
        <v>2784</v>
      </c>
      <c r="I2276" s="71" t="s">
        <v>2778</v>
      </c>
    </row>
    <row r="2277" spans="1:9" ht="43.5" x14ac:dyDescent="0.35">
      <c r="A2277" s="195">
        <v>16</v>
      </c>
      <c r="B2277" s="195">
        <v>31</v>
      </c>
      <c r="C2277" s="195" t="s">
        <v>2811</v>
      </c>
      <c r="D2277" s="64">
        <v>3915</v>
      </c>
      <c r="E2277" s="195" t="s">
        <v>373</v>
      </c>
      <c r="F2277" s="71" t="s">
        <v>367</v>
      </c>
      <c r="G2277" s="71" t="s">
        <v>388</v>
      </c>
      <c r="H2277" s="71" t="s">
        <v>2784</v>
      </c>
      <c r="I2277" s="71" t="s">
        <v>2780</v>
      </c>
    </row>
    <row r="2278" spans="1:9" ht="43.5" x14ac:dyDescent="0.35">
      <c r="A2278" s="195">
        <v>16</v>
      </c>
      <c r="B2278" s="195">
        <v>32</v>
      </c>
      <c r="C2278" s="195" t="s">
        <v>2812</v>
      </c>
      <c r="D2278" s="195">
        <v>0</v>
      </c>
      <c r="E2278" s="195" t="s">
        <v>373</v>
      </c>
      <c r="F2278" s="71" t="s">
        <v>367</v>
      </c>
      <c r="G2278" s="71" t="s">
        <v>388</v>
      </c>
      <c r="H2278" s="71" t="s">
        <v>2784</v>
      </c>
      <c r="I2278" s="71" t="s">
        <v>2782</v>
      </c>
    </row>
    <row r="2279" spans="1:9" ht="43.5" x14ac:dyDescent="0.35">
      <c r="A2279" s="195">
        <v>16</v>
      </c>
      <c r="B2279" s="195">
        <v>33</v>
      </c>
      <c r="C2279" s="195" t="s">
        <v>2813</v>
      </c>
      <c r="D2279" s="64">
        <v>7305</v>
      </c>
      <c r="E2279" s="195" t="s">
        <v>366</v>
      </c>
      <c r="F2279" s="71" t="s">
        <v>367</v>
      </c>
      <c r="G2279" s="71" t="s">
        <v>388</v>
      </c>
      <c r="H2279" s="71" t="s">
        <v>2789</v>
      </c>
      <c r="I2279" s="71" t="s">
        <v>2772</v>
      </c>
    </row>
    <row r="2280" spans="1:9" ht="43.5" x14ac:dyDescent="0.35">
      <c r="A2280" s="195">
        <v>16</v>
      </c>
      <c r="B2280" s="195">
        <v>34</v>
      </c>
      <c r="C2280" s="195" t="s">
        <v>2814</v>
      </c>
      <c r="D2280" s="64">
        <v>5860</v>
      </c>
      <c r="E2280" s="195" t="s">
        <v>373</v>
      </c>
      <c r="F2280" s="71" t="s">
        <v>367</v>
      </c>
      <c r="G2280" s="71" t="s">
        <v>388</v>
      </c>
      <c r="H2280" s="71" t="s">
        <v>2789</v>
      </c>
      <c r="I2280" s="71" t="s">
        <v>2778</v>
      </c>
    </row>
    <row r="2281" spans="1:9" ht="43.5" x14ac:dyDescent="0.35">
      <c r="A2281" s="195">
        <v>16</v>
      </c>
      <c r="B2281" s="195">
        <v>35</v>
      </c>
      <c r="C2281" s="195" t="s">
        <v>2815</v>
      </c>
      <c r="D2281" s="64">
        <v>1440</v>
      </c>
      <c r="E2281" s="195" t="s">
        <v>373</v>
      </c>
      <c r="F2281" s="71" t="s">
        <v>367</v>
      </c>
      <c r="G2281" s="71" t="s">
        <v>388</v>
      </c>
      <c r="H2281" s="71" t="s">
        <v>2789</v>
      </c>
      <c r="I2281" s="71" t="s">
        <v>2780</v>
      </c>
    </row>
    <row r="2282" spans="1:9" ht="43.5" x14ac:dyDescent="0.35">
      <c r="A2282" s="195">
        <v>16</v>
      </c>
      <c r="B2282" s="195">
        <v>36</v>
      </c>
      <c r="C2282" s="195" t="s">
        <v>2816</v>
      </c>
      <c r="D2282" s="195">
        <v>0</v>
      </c>
      <c r="E2282" s="195" t="s">
        <v>373</v>
      </c>
      <c r="F2282" s="71" t="s">
        <v>367</v>
      </c>
      <c r="G2282" s="71" t="s">
        <v>388</v>
      </c>
      <c r="H2282" s="71" t="s">
        <v>2789</v>
      </c>
      <c r="I2282" s="71" t="s">
        <v>2782</v>
      </c>
    </row>
    <row r="2283" spans="1:9" ht="58" x14ac:dyDescent="0.35">
      <c r="A2283" s="195">
        <v>16</v>
      </c>
      <c r="B2283" s="195">
        <v>37</v>
      </c>
      <c r="C2283" s="195" t="s">
        <v>2817</v>
      </c>
      <c r="D2283" s="64">
        <v>13615</v>
      </c>
      <c r="E2283" s="195" t="s">
        <v>366</v>
      </c>
      <c r="F2283" s="71" t="s">
        <v>367</v>
      </c>
      <c r="G2283" s="71" t="s">
        <v>388</v>
      </c>
      <c r="H2283" s="71" t="s">
        <v>2794</v>
      </c>
      <c r="I2283" s="71" t="s">
        <v>2772</v>
      </c>
    </row>
    <row r="2284" spans="1:9" ht="58" x14ac:dyDescent="0.35">
      <c r="A2284" s="195">
        <v>16</v>
      </c>
      <c r="B2284" s="195">
        <v>38</v>
      </c>
      <c r="C2284" s="195" t="s">
        <v>2818</v>
      </c>
      <c r="D2284" s="64">
        <v>8045</v>
      </c>
      <c r="E2284" s="195" t="s">
        <v>373</v>
      </c>
      <c r="F2284" s="71" t="s">
        <v>367</v>
      </c>
      <c r="G2284" s="71" t="s">
        <v>388</v>
      </c>
      <c r="H2284" s="71" t="s">
        <v>2794</v>
      </c>
      <c r="I2284" s="71" t="s">
        <v>2778</v>
      </c>
    </row>
    <row r="2285" spans="1:9" ht="58" x14ac:dyDescent="0.35">
      <c r="A2285" s="195">
        <v>16</v>
      </c>
      <c r="B2285" s="195">
        <v>39</v>
      </c>
      <c r="C2285" s="195" t="s">
        <v>2819</v>
      </c>
      <c r="D2285" s="64">
        <v>5570</v>
      </c>
      <c r="E2285" s="195" t="s">
        <v>373</v>
      </c>
      <c r="F2285" s="71" t="s">
        <v>367</v>
      </c>
      <c r="G2285" s="71" t="s">
        <v>388</v>
      </c>
      <c r="H2285" s="71" t="s">
        <v>2794</v>
      </c>
      <c r="I2285" s="71" t="s">
        <v>2780</v>
      </c>
    </row>
    <row r="2286" spans="1:9" ht="58" x14ac:dyDescent="0.35">
      <c r="A2286" s="195">
        <v>16</v>
      </c>
      <c r="B2286" s="195">
        <v>40</v>
      </c>
      <c r="C2286" s="195" t="s">
        <v>2820</v>
      </c>
      <c r="D2286" s="195">
        <v>0</v>
      </c>
      <c r="E2286" s="195" t="s">
        <v>373</v>
      </c>
      <c r="F2286" s="71" t="s">
        <v>367</v>
      </c>
      <c r="G2286" s="71" t="s">
        <v>388</v>
      </c>
      <c r="H2286" s="71" t="s">
        <v>2794</v>
      </c>
      <c r="I2286" s="71" t="s">
        <v>2782</v>
      </c>
    </row>
    <row r="2287" spans="1:9" ht="43.5" x14ac:dyDescent="0.35">
      <c r="A2287" s="195">
        <v>16</v>
      </c>
      <c r="B2287" s="195">
        <v>41</v>
      </c>
      <c r="C2287" s="195" t="s">
        <v>2821</v>
      </c>
      <c r="D2287" s="64">
        <v>5750</v>
      </c>
      <c r="E2287" s="195" t="s">
        <v>366</v>
      </c>
      <c r="F2287" s="71" t="s">
        <v>367</v>
      </c>
      <c r="G2287" s="71" t="s">
        <v>388</v>
      </c>
      <c r="H2287" s="71" t="s">
        <v>2799</v>
      </c>
      <c r="I2287" s="71" t="s">
        <v>2772</v>
      </c>
    </row>
    <row r="2288" spans="1:9" ht="43.5" x14ac:dyDescent="0.35">
      <c r="A2288" s="195">
        <v>16</v>
      </c>
      <c r="B2288" s="195">
        <v>42</v>
      </c>
      <c r="C2288" s="195" t="s">
        <v>2822</v>
      </c>
      <c r="D2288" s="64">
        <v>4785</v>
      </c>
      <c r="E2288" s="195" t="s">
        <v>373</v>
      </c>
      <c r="F2288" s="71" t="s">
        <v>367</v>
      </c>
      <c r="G2288" s="71" t="s">
        <v>388</v>
      </c>
      <c r="H2288" s="71" t="s">
        <v>2799</v>
      </c>
      <c r="I2288" s="71" t="s">
        <v>2778</v>
      </c>
    </row>
    <row r="2289" spans="1:9" ht="43.5" x14ac:dyDescent="0.35">
      <c r="A2289" s="195">
        <v>16</v>
      </c>
      <c r="B2289" s="195">
        <v>43</v>
      </c>
      <c r="C2289" s="195" t="s">
        <v>2823</v>
      </c>
      <c r="D2289" s="64">
        <v>965</v>
      </c>
      <c r="E2289" s="195" t="s">
        <v>373</v>
      </c>
      <c r="F2289" s="71" t="s">
        <v>367</v>
      </c>
      <c r="G2289" s="71" t="s">
        <v>388</v>
      </c>
      <c r="H2289" s="71" t="s">
        <v>2799</v>
      </c>
      <c r="I2289" s="71" t="s">
        <v>2780</v>
      </c>
    </row>
    <row r="2290" spans="1:9" ht="43.5" x14ac:dyDescent="0.35">
      <c r="A2290" s="195">
        <v>16</v>
      </c>
      <c r="B2290" s="195">
        <v>44</v>
      </c>
      <c r="C2290" s="195" t="s">
        <v>2824</v>
      </c>
      <c r="D2290" s="195">
        <v>0</v>
      </c>
      <c r="E2290" s="195" t="s">
        <v>373</v>
      </c>
      <c r="F2290" s="71" t="s">
        <v>367</v>
      </c>
      <c r="G2290" s="71" t="s">
        <v>388</v>
      </c>
      <c r="H2290" s="71" t="s">
        <v>2799</v>
      </c>
      <c r="I2290" s="71" t="s">
        <v>2782</v>
      </c>
    </row>
    <row r="2291" spans="1:9" ht="43.5" x14ac:dyDescent="0.35">
      <c r="A2291" s="195">
        <v>16</v>
      </c>
      <c r="B2291" s="195">
        <v>45</v>
      </c>
      <c r="C2291" s="195" t="s">
        <v>2825</v>
      </c>
      <c r="D2291" s="64">
        <v>71225</v>
      </c>
      <c r="E2291" s="195" t="s">
        <v>366</v>
      </c>
      <c r="F2291" s="71" t="s">
        <v>367</v>
      </c>
      <c r="G2291" s="71" t="s">
        <v>397</v>
      </c>
      <c r="H2291" s="71" t="s">
        <v>982</v>
      </c>
      <c r="I2291" s="71" t="s">
        <v>2772</v>
      </c>
    </row>
    <row r="2292" spans="1:9" ht="43.5" x14ac:dyDescent="0.35">
      <c r="A2292" s="195">
        <v>16</v>
      </c>
      <c r="B2292" s="195">
        <v>46</v>
      </c>
      <c r="C2292" s="195" t="s">
        <v>2826</v>
      </c>
      <c r="D2292" s="64">
        <v>12710</v>
      </c>
      <c r="E2292" s="195" t="s">
        <v>366</v>
      </c>
      <c r="F2292" s="71" t="s">
        <v>367</v>
      </c>
      <c r="G2292" s="71" t="s">
        <v>2827</v>
      </c>
      <c r="H2292" s="71" t="s">
        <v>2776</v>
      </c>
      <c r="I2292" s="71" t="s">
        <v>2772</v>
      </c>
    </row>
    <row r="2293" spans="1:9" ht="43.5" x14ac:dyDescent="0.35">
      <c r="A2293" s="195">
        <v>16</v>
      </c>
      <c r="B2293" s="195">
        <v>47</v>
      </c>
      <c r="C2293" s="195" t="s">
        <v>2828</v>
      </c>
      <c r="D2293" s="64">
        <v>4800</v>
      </c>
      <c r="E2293" s="195" t="s">
        <v>373</v>
      </c>
      <c r="F2293" s="71" t="s">
        <v>367</v>
      </c>
      <c r="G2293" s="71" t="s">
        <v>2827</v>
      </c>
      <c r="H2293" s="71" t="s">
        <v>2776</v>
      </c>
      <c r="I2293" s="71" t="s">
        <v>2778</v>
      </c>
    </row>
    <row r="2294" spans="1:9" ht="43.5" x14ac:dyDescent="0.35">
      <c r="A2294" s="195">
        <v>16</v>
      </c>
      <c r="B2294" s="195">
        <v>48</v>
      </c>
      <c r="C2294" s="195" t="s">
        <v>2829</v>
      </c>
      <c r="D2294" s="64">
        <v>7910</v>
      </c>
      <c r="E2294" s="195" t="s">
        <v>373</v>
      </c>
      <c r="F2294" s="71" t="s">
        <v>367</v>
      </c>
      <c r="G2294" s="71" t="s">
        <v>2827</v>
      </c>
      <c r="H2294" s="71" t="s">
        <v>2776</v>
      </c>
      <c r="I2294" s="71" t="s">
        <v>2780</v>
      </c>
    </row>
    <row r="2295" spans="1:9" ht="43.5" x14ac:dyDescent="0.35">
      <c r="A2295" s="195">
        <v>16</v>
      </c>
      <c r="B2295" s="195">
        <v>49</v>
      </c>
      <c r="C2295" s="195" t="s">
        <v>2830</v>
      </c>
      <c r="D2295" s="195">
        <v>0</v>
      </c>
      <c r="E2295" s="195" t="s">
        <v>373</v>
      </c>
      <c r="F2295" s="71" t="s">
        <v>367</v>
      </c>
      <c r="G2295" s="71" t="s">
        <v>2827</v>
      </c>
      <c r="H2295" s="71" t="s">
        <v>2776</v>
      </c>
      <c r="I2295" s="71" t="s">
        <v>2782</v>
      </c>
    </row>
    <row r="2296" spans="1:9" ht="43.5" x14ac:dyDescent="0.35">
      <c r="A2296" s="195">
        <v>16</v>
      </c>
      <c r="B2296" s="195">
        <v>50</v>
      </c>
      <c r="C2296" s="195" t="s">
        <v>2831</v>
      </c>
      <c r="D2296" s="64">
        <v>26295</v>
      </c>
      <c r="E2296" s="195" t="s">
        <v>366</v>
      </c>
      <c r="F2296" s="71" t="s">
        <v>367</v>
      </c>
      <c r="G2296" s="71" t="s">
        <v>397</v>
      </c>
      <c r="H2296" s="71" t="s">
        <v>2784</v>
      </c>
      <c r="I2296" s="71" t="s">
        <v>2772</v>
      </c>
    </row>
    <row r="2297" spans="1:9" ht="43.5" x14ac:dyDescent="0.35">
      <c r="A2297" s="195">
        <v>16</v>
      </c>
      <c r="B2297" s="195">
        <v>51</v>
      </c>
      <c r="C2297" s="195" t="s">
        <v>2832</v>
      </c>
      <c r="D2297" s="64">
        <v>14530</v>
      </c>
      <c r="E2297" s="195" t="s">
        <v>373</v>
      </c>
      <c r="F2297" s="71" t="s">
        <v>367</v>
      </c>
      <c r="G2297" s="71" t="s">
        <v>397</v>
      </c>
      <c r="H2297" s="71" t="s">
        <v>2784</v>
      </c>
      <c r="I2297" s="71" t="s">
        <v>2778</v>
      </c>
    </row>
    <row r="2298" spans="1:9" ht="43.5" x14ac:dyDescent="0.35">
      <c r="A2298" s="195">
        <v>16</v>
      </c>
      <c r="B2298" s="195">
        <v>52</v>
      </c>
      <c r="C2298" s="195" t="s">
        <v>2833</v>
      </c>
      <c r="D2298" s="64">
        <v>11765</v>
      </c>
      <c r="E2298" s="195" t="s">
        <v>373</v>
      </c>
      <c r="F2298" s="71" t="s">
        <v>367</v>
      </c>
      <c r="G2298" s="71" t="s">
        <v>397</v>
      </c>
      <c r="H2298" s="71" t="s">
        <v>2784</v>
      </c>
      <c r="I2298" s="71" t="s">
        <v>2780</v>
      </c>
    </row>
    <row r="2299" spans="1:9" ht="43.5" x14ac:dyDescent="0.35">
      <c r="A2299" s="195">
        <v>16</v>
      </c>
      <c r="B2299" s="195">
        <v>53</v>
      </c>
      <c r="C2299" s="195" t="s">
        <v>2834</v>
      </c>
      <c r="D2299" s="195">
        <v>0</v>
      </c>
      <c r="E2299" s="195" t="s">
        <v>373</v>
      </c>
      <c r="F2299" s="71" t="s">
        <v>367</v>
      </c>
      <c r="G2299" s="71" t="s">
        <v>397</v>
      </c>
      <c r="H2299" s="71" t="s">
        <v>2784</v>
      </c>
      <c r="I2299" s="71" t="s">
        <v>2782</v>
      </c>
    </row>
    <row r="2300" spans="1:9" ht="43.5" x14ac:dyDescent="0.35">
      <c r="A2300" s="195">
        <v>16</v>
      </c>
      <c r="B2300" s="195">
        <v>54</v>
      </c>
      <c r="C2300" s="195" t="s">
        <v>2835</v>
      </c>
      <c r="D2300" s="64">
        <v>10730</v>
      </c>
      <c r="E2300" s="195" t="s">
        <v>366</v>
      </c>
      <c r="F2300" s="71" t="s">
        <v>367</v>
      </c>
      <c r="G2300" s="71" t="s">
        <v>397</v>
      </c>
      <c r="H2300" s="71" t="s">
        <v>2789</v>
      </c>
      <c r="I2300" s="71" t="s">
        <v>2772</v>
      </c>
    </row>
    <row r="2301" spans="1:9" ht="43.5" x14ac:dyDescent="0.35">
      <c r="A2301" s="195">
        <v>16</v>
      </c>
      <c r="B2301" s="195">
        <v>55</v>
      </c>
      <c r="C2301" s="195" t="s">
        <v>2836</v>
      </c>
      <c r="D2301" s="64">
        <v>6230</v>
      </c>
      <c r="E2301" s="195" t="s">
        <v>373</v>
      </c>
      <c r="F2301" s="71" t="s">
        <v>367</v>
      </c>
      <c r="G2301" s="71" t="s">
        <v>397</v>
      </c>
      <c r="H2301" s="71" t="s">
        <v>2789</v>
      </c>
      <c r="I2301" s="71" t="s">
        <v>2778</v>
      </c>
    </row>
    <row r="2302" spans="1:9" ht="43.5" x14ac:dyDescent="0.35">
      <c r="A2302" s="195">
        <v>16</v>
      </c>
      <c r="B2302" s="195">
        <v>56</v>
      </c>
      <c r="C2302" s="195" t="s">
        <v>2837</v>
      </c>
      <c r="D2302" s="64">
        <v>4500</v>
      </c>
      <c r="E2302" s="195" t="s">
        <v>373</v>
      </c>
      <c r="F2302" s="71" t="s">
        <v>367</v>
      </c>
      <c r="G2302" s="71" t="s">
        <v>397</v>
      </c>
      <c r="H2302" s="71" t="s">
        <v>2789</v>
      </c>
      <c r="I2302" s="71" t="s">
        <v>2780</v>
      </c>
    </row>
    <row r="2303" spans="1:9" ht="43.5" x14ac:dyDescent="0.35">
      <c r="A2303" s="195">
        <v>16</v>
      </c>
      <c r="B2303" s="195">
        <v>57</v>
      </c>
      <c r="C2303" s="195" t="s">
        <v>2838</v>
      </c>
      <c r="D2303" s="195">
        <v>0</v>
      </c>
      <c r="E2303" s="195" t="s">
        <v>373</v>
      </c>
      <c r="F2303" s="71" t="s">
        <v>367</v>
      </c>
      <c r="G2303" s="71" t="s">
        <v>397</v>
      </c>
      <c r="H2303" s="71" t="s">
        <v>2789</v>
      </c>
      <c r="I2303" s="71" t="s">
        <v>2782</v>
      </c>
    </row>
    <row r="2304" spans="1:9" ht="58" x14ac:dyDescent="0.35">
      <c r="A2304" s="195">
        <v>16</v>
      </c>
      <c r="B2304" s="195">
        <v>58</v>
      </c>
      <c r="C2304" s="195" t="s">
        <v>2839</v>
      </c>
      <c r="D2304" s="64">
        <v>11280</v>
      </c>
      <c r="E2304" s="195" t="s">
        <v>366</v>
      </c>
      <c r="F2304" s="71" t="s">
        <v>367</v>
      </c>
      <c r="G2304" s="71" t="s">
        <v>397</v>
      </c>
      <c r="H2304" s="71" t="s">
        <v>2794</v>
      </c>
      <c r="I2304" s="71" t="s">
        <v>2772</v>
      </c>
    </row>
    <row r="2305" spans="1:9" ht="58" x14ac:dyDescent="0.35">
      <c r="A2305" s="195">
        <v>16</v>
      </c>
      <c r="B2305" s="195">
        <v>59</v>
      </c>
      <c r="C2305" s="195" t="s">
        <v>2840</v>
      </c>
      <c r="D2305" s="64">
        <v>4650</v>
      </c>
      <c r="E2305" s="195" t="s">
        <v>373</v>
      </c>
      <c r="F2305" s="71" t="s">
        <v>367</v>
      </c>
      <c r="G2305" s="71" t="s">
        <v>397</v>
      </c>
      <c r="H2305" s="71" t="s">
        <v>2794</v>
      </c>
      <c r="I2305" s="71" t="s">
        <v>2778</v>
      </c>
    </row>
    <row r="2306" spans="1:9" ht="58" x14ac:dyDescent="0.35">
      <c r="A2306" s="195">
        <v>16</v>
      </c>
      <c r="B2306" s="195">
        <v>60</v>
      </c>
      <c r="C2306" s="195" t="s">
        <v>2841</v>
      </c>
      <c r="D2306" s="64">
        <v>6630</v>
      </c>
      <c r="E2306" s="195" t="s">
        <v>373</v>
      </c>
      <c r="F2306" s="71" t="s">
        <v>367</v>
      </c>
      <c r="G2306" s="71" t="s">
        <v>397</v>
      </c>
      <c r="H2306" s="71" t="s">
        <v>2794</v>
      </c>
      <c r="I2306" s="71" t="s">
        <v>2780</v>
      </c>
    </row>
    <row r="2307" spans="1:9" ht="58" x14ac:dyDescent="0.35">
      <c r="A2307" s="195">
        <v>16</v>
      </c>
      <c r="B2307" s="195">
        <v>61</v>
      </c>
      <c r="C2307" s="195" t="s">
        <v>2842</v>
      </c>
      <c r="D2307" s="195">
        <v>0</v>
      </c>
      <c r="E2307" s="195" t="s">
        <v>373</v>
      </c>
      <c r="F2307" s="71" t="s">
        <v>367</v>
      </c>
      <c r="G2307" s="71" t="s">
        <v>397</v>
      </c>
      <c r="H2307" s="71" t="s">
        <v>2794</v>
      </c>
      <c r="I2307" s="71" t="s">
        <v>2782</v>
      </c>
    </row>
    <row r="2308" spans="1:9" ht="43.5" x14ac:dyDescent="0.35">
      <c r="A2308" s="195">
        <v>16</v>
      </c>
      <c r="B2308" s="195">
        <v>62</v>
      </c>
      <c r="C2308" s="195" t="s">
        <v>2843</v>
      </c>
      <c r="D2308" s="64">
        <v>10205</v>
      </c>
      <c r="E2308" s="195" t="s">
        <v>366</v>
      </c>
      <c r="F2308" s="71" t="s">
        <v>367</v>
      </c>
      <c r="G2308" s="71" t="s">
        <v>397</v>
      </c>
      <c r="H2308" s="71" t="s">
        <v>2799</v>
      </c>
      <c r="I2308" s="71" t="s">
        <v>2772</v>
      </c>
    </row>
    <row r="2309" spans="1:9" ht="43.5" x14ac:dyDescent="0.35">
      <c r="A2309" s="195">
        <v>16</v>
      </c>
      <c r="B2309" s="195">
        <v>63</v>
      </c>
      <c r="C2309" s="195" t="s">
        <v>2844</v>
      </c>
      <c r="D2309" s="64">
        <v>6880</v>
      </c>
      <c r="E2309" s="195" t="s">
        <v>373</v>
      </c>
      <c r="F2309" s="71" t="s">
        <v>367</v>
      </c>
      <c r="G2309" s="71" t="s">
        <v>397</v>
      </c>
      <c r="H2309" s="71" t="s">
        <v>2799</v>
      </c>
      <c r="I2309" s="71" t="s">
        <v>2778</v>
      </c>
    </row>
    <row r="2310" spans="1:9" ht="43.5" x14ac:dyDescent="0.35">
      <c r="A2310" s="195">
        <v>16</v>
      </c>
      <c r="B2310" s="195">
        <v>64</v>
      </c>
      <c r="C2310" s="195" t="s">
        <v>2845</v>
      </c>
      <c r="D2310" s="64">
        <v>3330</v>
      </c>
      <c r="E2310" s="195" t="s">
        <v>373</v>
      </c>
      <c r="F2310" s="71" t="s">
        <v>367</v>
      </c>
      <c r="G2310" s="71" t="s">
        <v>397</v>
      </c>
      <c r="H2310" s="71" t="s">
        <v>2799</v>
      </c>
      <c r="I2310" s="71" t="s">
        <v>2780</v>
      </c>
    </row>
    <row r="2311" spans="1:9" ht="43.5" x14ac:dyDescent="0.35">
      <c r="A2311" s="195">
        <v>16</v>
      </c>
      <c r="B2311" s="195">
        <v>65</v>
      </c>
      <c r="C2311" s="195" t="s">
        <v>2846</v>
      </c>
      <c r="D2311" s="195">
        <v>0</v>
      </c>
      <c r="E2311" s="195" t="s">
        <v>373</v>
      </c>
      <c r="F2311" s="71" t="s">
        <v>367</v>
      </c>
      <c r="G2311" s="71" t="s">
        <v>397</v>
      </c>
      <c r="H2311" s="71" t="s">
        <v>2799</v>
      </c>
      <c r="I2311" s="71" t="s">
        <v>2782</v>
      </c>
    </row>
    <row r="2312" spans="1:9" ht="29" x14ac:dyDescent="0.35">
      <c r="A2312" s="195">
        <v>16</v>
      </c>
      <c r="B2312" s="195">
        <v>66</v>
      </c>
      <c r="C2312" s="195" t="s">
        <v>2847</v>
      </c>
      <c r="D2312" s="64">
        <v>288530</v>
      </c>
      <c r="E2312" s="195" t="s">
        <v>366</v>
      </c>
      <c r="F2312" s="71" t="s">
        <v>367</v>
      </c>
      <c r="G2312" s="71" t="s">
        <v>2848</v>
      </c>
      <c r="H2312" s="71" t="s">
        <v>982</v>
      </c>
      <c r="I2312" s="71" t="s">
        <v>2772</v>
      </c>
    </row>
    <row r="2313" spans="1:9" ht="43.5" x14ac:dyDescent="0.35">
      <c r="A2313" s="195">
        <v>16</v>
      </c>
      <c r="B2313" s="195">
        <v>67</v>
      </c>
      <c r="C2313" s="195" t="s">
        <v>2849</v>
      </c>
      <c r="D2313" s="64">
        <v>34100</v>
      </c>
      <c r="E2313" s="195" t="s">
        <v>366</v>
      </c>
      <c r="F2313" s="71" t="s">
        <v>367</v>
      </c>
      <c r="G2313" s="71" t="s">
        <v>2848</v>
      </c>
      <c r="H2313" s="71" t="s">
        <v>2776</v>
      </c>
      <c r="I2313" s="71" t="s">
        <v>2772</v>
      </c>
    </row>
    <row r="2314" spans="1:9" ht="43.5" x14ac:dyDescent="0.35">
      <c r="A2314" s="195">
        <v>16</v>
      </c>
      <c r="B2314" s="195">
        <v>68</v>
      </c>
      <c r="C2314" s="195" t="s">
        <v>2850</v>
      </c>
      <c r="D2314" s="64">
        <v>4315</v>
      </c>
      <c r="E2314" s="195" t="s">
        <v>373</v>
      </c>
      <c r="F2314" s="71" t="s">
        <v>367</v>
      </c>
      <c r="G2314" s="71" t="s">
        <v>2848</v>
      </c>
      <c r="H2314" s="71" t="s">
        <v>2776</v>
      </c>
      <c r="I2314" s="71" t="s">
        <v>2778</v>
      </c>
    </row>
    <row r="2315" spans="1:9" ht="43.5" x14ac:dyDescent="0.35">
      <c r="A2315" s="195">
        <v>16</v>
      </c>
      <c r="B2315" s="195">
        <v>69</v>
      </c>
      <c r="C2315" s="195" t="s">
        <v>2851</v>
      </c>
      <c r="D2315" s="64">
        <v>29785</v>
      </c>
      <c r="E2315" s="195" t="s">
        <v>373</v>
      </c>
      <c r="F2315" s="71" t="s">
        <v>367</v>
      </c>
      <c r="G2315" s="71" t="s">
        <v>2848</v>
      </c>
      <c r="H2315" s="71" t="s">
        <v>2776</v>
      </c>
      <c r="I2315" s="71" t="s">
        <v>2780</v>
      </c>
    </row>
    <row r="2316" spans="1:9" ht="43.5" x14ac:dyDescent="0.35">
      <c r="A2316" s="195">
        <v>16</v>
      </c>
      <c r="B2316" s="195">
        <v>70</v>
      </c>
      <c r="C2316" s="195" t="s">
        <v>2852</v>
      </c>
      <c r="D2316" s="195">
        <v>0</v>
      </c>
      <c r="E2316" s="195" t="s">
        <v>373</v>
      </c>
      <c r="F2316" s="71" t="s">
        <v>367</v>
      </c>
      <c r="G2316" s="71" t="s">
        <v>2848</v>
      </c>
      <c r="H2316" s="71" t="s">
        <v>2776</v>
      </c>
      <c r="I2316" s="71" t="s">
        <v>2782</v>
      </c>
    </row>
    <row r="2317" spans="1:9" ht="43.5" x14ac:dyDescent="0.35">
      <c r="A2317" s="195">
        <v>16</v>
      </c>
      <c r="B2317" s="195">
        <v>71</v>
      </c>
      <c r="C2317" s="195" t="s">
        <v>2853</v>
      </c>
      <c r="D2317" s="64">
        <v>136065</v>
      </c>
      <c r="E2317" s="195" t="s">
        <v>366</v>
      </c>
      <c r="F2317" s="71" t="s">
        <v>367</v>
      </c>
      <c r="G2317" s="71" t="s">
        <v>2848</v>
      </c>
      <c r="H2317" s="71" t="s">
        <v>2784</v>
      </c>
      <c r="I2317" s="71" t="s">
        <v>2772</v>
      </c>
    </row>
    <row r="2318" spans="1:9" ht="43.5" x14ac:dyDescent="0.35">
      <c r="A2318" s="195">
        <v>16</v>
      </c>
      <c r="B2318" s="195">
        <v>72</v>
      </c>
      <c r="C2318" s="195" t="s">
        <v>2854</v>
      </c>
      <c r="D2318" s="64">
        <v>16940</v>
      </c>
      <c r="E2318" s="195" t="s">
        <v>373</v>
      </c>
      <c r="F2318" s="71" t="s">
        <v>367</v>
      </c>
      <c r="G2318" s="71" t="s">
        <v>2848</v>
      </c>
      <c r="H2318" s="71" t="s">
        <v>2784</v>
      </c>
      <c r="I2318" s="71" t="s">
        <v>2778</v>
      </c>
    </row>
    <row r="2319" spans="1:9" ht="43.5" x14ac:dyDescent="0.35">
      <c r="A2319" s="195">
        <v>16</v>
      </c>
      <c r="B2319" s="195">
        <v>73</v>
      </c>
      <c r="C2319" s="195" t="s">
        <v>2855</v>
      </c>
      <c r="D2319" s="64">
        <v>119125</v>
      </c>
      <c r="E2319" s="195" t="s">
        <v>373</v>
      </c>
      <c r="F2319" s="71" t="s">
        <v>367</v>
      </c>
      <c r="G2319" s="71" t="s">
        <v>2848</v>
      </c>
      <c r="H2319" s="71" t="s">
        <v>2784</v>
      </c>
      <c r="I2319" s="71" t="s">
        <v>2780</v>
      </c>
    </row>
    <row r="2320" spans="1:9" ht="43.5" x14ac:dyDescent="0.35">
      <c r="A2320" s="195">
        <v>16</v>
      </c>
      <c r="B2320" s="195">
        <v>74</v>
      </c>
      <c r="C2320" s="195" t="s">
        <v>2856</v>
      </c>
      <c r="D2320" s="195">
        <v>0</v>
      </c>
      <c r="E2320" s="195" t="s">
        <v>373</v>
      </c>
      <c r="F2320" s="71" t="s">
        <v>367</v>
      </c>
      <c r="G2320" s="71" t="s">
        <v>2848</v>
      </c>
      <c r="H2320" s="71" t="s">
        <v>2784</v>
      </c>
      <c r="I2320" s="71" t="s">
        <v>2782</v>
      </c>
    </row>
    <row r="2321" spans="1:9" ht="29" x14ac:dyDescent="0.35">
      <c r="A2321" s="195">
        <v>16</v>
      </c>
      <c r="B2321" s="195">
        <v>75</v>
      </c>
      <c r="C2321" s="195" t="s">
        <v>2857</v>
      </c>
      <c r="D2321" s="64">
        <v>29525</v>
      </c>
      <c r="E2321" s="195" t="s">
        <v>366</v>
      </c>
      <c r="F2321" s="71" t="s">
        <v>367</v>
      </c>
      <c r="G2321" s="71" t="s">
        <v>2848</v>
      </c>
      <c r="H2321" s="71" t="s">
        <v>2789</v>
      </c>
      <c r="I2321" s="71" t="s">
        <v>2772</v>
      </c>
    </row>
    <row r="2322" spans="1:9" ht="29" x14ac:dyDescent="0.35">
      <c r="A2322" s="195">
        <v>16</v>
      </c>
      <c r="B2322" s="195">
        <v>76</v>
      </c>
      <c r="C2322" s="195" t="s">
        <v>2858</v>
      </c>
      <c r="D2322" s="64">
        <v>6755</v>
      </c>
      <c r="E2322" s="195" t="s">
        <v>373</v>
      </c>
      <c r="F2322" s="71" t="s">
        <v>367</v>
      </c>
      <c r="G2322" s="71" t="s">
        <v>2848</v>
      </c>
      <c r="H2322" s="71" t="s">
        <v>2789</v>
      </c>
      <c r="I2322" s="71" t="s">
        <v>2778</v>
      </c>
    </row>
    <row r="2323" spans="1:9" ht="29" x14ac:dyDescent="0.35">
      <c r="A2323" s="195">
        <v>16</v>
      </c>
      <c r="B2323" s="195">
        <v>77</v>
      </c>
      <c r="C2323" s="195" t="s">
        <v>2859</v>
      </c>
      <c r="D2323" s="64">
        <v>22770</v>
      </c>
      <c r="E2323" s="195" t="s">
        <v>373</v>
      </c>
      <c r="F2323" s="71" t="s">
        <v>367</v>
      </c>
      <c r="G2323" s="71" t="s">
        <v>2848</v>
      </c>
      <c r="H2323" s="71" t="s">
        <v>2789</v>
      </c>
      <c r="I2323" s="71" t="s">
        <v>2780</v>
      </c>
    </row>
    <row r="2324" spans="1:9" ht="43.5" x14ac:dyDescent="0.35">
      <c r="A2324" s="195">
        <v>16</v>
      </c>
      <c r="B2324" s="195">
        <v>78</v>
      </c>
      <c r="C2324" s="195" t="s">
        <v>2860</v>
      </c>
      <c r="D2324" s="195">
        <v>0</v>
      </c>
      <c r="E2324" s="195" t="s">
        <v>373</v>
      </c>
      <c r="F2324" s="71" t="s">
        <v>367</v>
      </c>
      <c r="G2324" s="71" t="s">
        <v>2848</v>
      </c>
      <c r="H2324" s="71" t="s">
        <v>2789</v>
      </c>
      <c r="I2324" s="71" t="s">
        <v>2782</v>
      </c>
    </row>
    <row r="2325" spans="1:9" ht="58" x14ac:dyDescent="0.35">
      <c r="A2325" s="195">
        <v>16</v>
      </c>
      <c r="B2325" s="195">
        <v>79</v>
      </c>
      <c r="C2325" s="195" t="s">
        <v>2861</v>
      </c>
      <c r="D2325" s="64">
        <v>20185</v>
      </c>
      <c r="E2325" s="195" t="s">
        <v>366</v>
      </c>
      <c r="F2325" s="71" t="s">
        <v>367</v>
      </c>
      <c r="G2325" s="71" t="s">
        <v>2848</v>
      </c>
      <c r="H2325" s="71" t="s">
        <v>2794</v>
      </c>
      <c r="I2325" s="71" t="s">
        <v>2772</v>
      </c>
    </row>
    <row r="2326" spans="1:9" ht="58" x14ac:dyDescent="0.35">
      <c r="A2326" s="195">
        <v>16</v>
      </c>
      <c r="B2326" s="195">
        <v>80</v>
      </c>
      <c r="C2326" s="195" t="s">
        <v>2862</v>
      </c>
      <c r="D2326" s="64">
        <v>3675</v>
      </c>
      <c r="E2326" s="195" t="s">
        <v>373</v>
      </c>
      <c r="F2326" s="71" t="s">
        <v>367</v>
      </c>
      <c r="G2326" s="71" t="s">
        <v>2848</v>
      </c>
      <c r="H2326" s="71" t="s">
        <v>2794</v>
      </c>
      <c r="I2326" s="71" t="s">
        <v>2778</v>
      </c>
    </row>
    <row r="2327" spans="1:9" ht="58" x14ac:dyDescent="0.35">
      <c r="A2327" s="195">
        <v>16</v>
      </c>
      <c r="B2327" s="195">
        <v>81</v>
      </c>
      <c r="C2327" s="195" t="s">
        <v>2863</v>
      </c>
      <c r="D2327" s="64">
        <v>16505</v>
      </c>
      <c r="E2327" s="195" t="s">
        <v>373</v>
      </c>
      <c r="F2327" s="71" t="s">
        <v>367</v>
      </c>
      <c r="G2327" s="71" t="s">
        <v>2848</v>
      </c>
      <c r="H2327" s="71" t="s">
        <v>2794</v>
      </c>
      <c r="I2327" s="71" t="s">
        <v>2780</v>
      </c>
    </row>
    <row r="2328" spans="1:9" ht="58" x14ac:dyDescent="0.35">
      <c r="A2328" s="195">
        <v>16</v>
      </c>
      <c r="B2328" s="195">
        <v>82</v>
      </c>
      <c r="C2328" s="195" t="s">
        <v>2864</v>
      </c>
      <c r="D2328" s="195">
        <v>0</v>
      </c>
      <c r="E2328" s="195" t="s">
        <v>373</v>
      </c>
      <c r="F2328" s="71" t="s">
        <v>367</v>
      </c>
      <c r="G2328" s="71" t="s">
        <v>2848</v>
      </c>
      <c r="H2328" s="71" t="s">
        <v>2794</v>
      </c>
      <c r="I2328" s="71" t="s">
        <v>2782</v>
      </c>
    </row>
    <row r="2329" spans="1:9" ht="29" x14ac:dyDescent="0.35">
      <c r="A2329" s="195">
        <v>16</v>
      </c>
      <c r="B2329" s="195">
        <v>83</v>
      </c>
      <c r="C2329" s="195" t="s">
        <v>2865</v>
      </c>
      <c r="D2329" s="64">
        <v>68655</v>
      </c>
      <c r="E2329" s="195" t="s">
        <v>366</v>
      </c>
      <c r="F2329" s="71" t="s">
        <v>367</v>
      </c>
      <c r="G2329" s="71" t="s">
        <v>2848</v>
      </c>
      <c r="H2329" s="71" t="s">
        <v>2799</v>
      </c>
      <c r="I2329" s="71" t="s">
        <v>2772</v>
      </c>
    </row>
    <row r="2330" spans="1:9" ht="29" x14ac:dyDescent="0.35">
      <c r="A2330" s="195">
        <v>16</v>
      </c>
      <c r="B2330" s="195">
        <v>84</v>
      </c>
      <c r="C2330" s="195" t="s">
        <v>2866</v>
      </c>
      <c r="D2330" s="64">
        <v>14825</v>
      </c>
      <c r="E2330" s="195" t="s">
        <v>373</v>
      </c>
      <c r="F2330" s="71" t="s">
        <v>367</v>
      </c>
      <c r="G2330" s="71" t="s">
        <v>2848</v>
      </c>
      <c r="H2330" s="71" t="s">
        <v>2799</v>
      </c>
      <c r="I2330" s="71" t="s">
        <v>2778</v>
      </c>
    </row>
    <row r="2331" spans="1:9" ht="29" x14ac:dyDescent="0.35">
      <c r="A2331" s="195">
        <v>16</v>
      </c>
      <c r="B2331" s="195">
        <v>85</v>
      </c>
      <c r="C2331" s="195" t="s">
        <v>2867</v>
      </c>
      <c r="D2331" s="64">
        <v>53830</v>
      </c>
      <c r="E2331" s="195" t="s">
        <v>373</v>
      </c>
      <c r="F2331" s="71" t="s">
        <v>367</v>
      </c>
      <c r="G2331" s="71" t="s">
        <v>2848</v>
      </c>
      <c r="H2331" s="71" t="s">
        <v>2799</v>
      </c>
      <c r="I2331" s="71" t="s">
        <v>2780</v>
      </c>
    </row>
    <row r="2332" spans="1:9" ht="43.5" x14ac:dyDescent="0.35">
      <c r="A2332" s="195">
        <v>16</v>
      </c>
      <c r="B2332" s="195">
        <v>86</v>
      </c>
      <c r="C2332" s="195" t="s">
        <v>2868</v>
      </c>
      <c r="D2332" s="195">
        <v>0</v>
      </c>
      <c r="E2332" s="195" t="s">
        <v>373</v>
      </c>
      <c r="F2332" s="71" t="s">
        <v>367</v>
      </c>
      <c r="G2332" s="71" t="s">
        <v>2848</v>
      </c>
      <c r="H2332" s="71" t="s">
        <v>2799</v>
      </c>
      <c r="I2332" s="71" t="s">
        <v>2782</v>
      </c>
    </row>
    <row r="2333" spans="1:9" x14ac:dyDescent="0.35">
      <c r="A2333" s="195">
        <v>16</v>
      </c>
      <c r="B2333" s="195">
        <v>87</v>
      </c>
      <c r="C2333" s="195" t="s">
        <v>2869</v>
      </c>
      <c r="D2333" s="64">
        <v>582690</v>
      </c>
      <c r="E2333" s="195" t="s">
        <v>366</v>
      </c>
      <c r="F2333" s="71" t="s">
        <v>508</v>
      </c>
      <c r="G2333" s="71" t="s">
        <v>363</v>
      </c>
      <c r="H2333" s="71" t="s">
        <v>982</v>
      </c>
      <c r="I2333" s="71" t="s">
        <v>2772</v>
      </c>
    </row>
    <row r="2334" spans="1:9" ht="29" x14ac:dyDescent="0.35">
      <c r="A2334" s="195">
        <v>16</v>
      </c>
      <c r="B2334" s="195">
        <v>88</v>
      </c>
      <c r="C2334" s="195" t="s">
        <v>2870</v>
      </c>
      <c r="D2334" s="64">
        <v>191440</v>
      </c>
      <c r="E2334" s="195" t="s">
        <v>366</v>
      </c>
      <c r="F2334" s="71" t="s">
        <v>508</v>
      </c>
      <c r="G2334" s="71" t="s">
        <v>371</v>
      </c>
      <c r="H2334" s="71" t="s">
        <v>982</v>
      </c>
      <c r="I2334" s="71" t="s">
        <v>2772</v>
      </c>
    </row>
    <row r="2335" spans="1:9" ht="43.5" x14ac:dyDescent="0.35">
      <c r="A2335" s="195">
        <v>16</v>
      </c>
      <c r="B2335" s="195">
        <v>89</v>
      </c>
      <c r="C2335" s="195" t="s">
        <v>2871</v>
      </c>
      <c r="D2335" s="64">
        <v>8135</v>
      </c>
      <c r="E2335" s="195" t="s">
        <v>366</v>
      </c>
      <c r="F2335" s="71" t="s">
        <v>508</v>
      </c>
      <c r="G2335" s="71" t="s">
        <v>371</v>
      </c>
      <c r="H2335" s="71" t="s">
        <v>2776</v>
      </c>
      <c r="I2335" s="71" t="s">
        <v>2772</v>
      </c>
    </row>
    <row r="2336" spans="1:9" ht="43.5" x14ac:dyDescent="0.35">
      <c r="A2336" s="195">
        <v>16</v>
      </c>
      <c r="B2336" s="195">
        <v>90</v>
      </c>
      <c r="C2336" s="195" t="s">
        <v>2872</v>
      </c>
      <c r="D2336" s="64">
        <v>5930</v>
      </c>
      <c r="E2336" s="195" t="s">
        <v>373</v>
      </c>
      <c r="F2336" s="71" t="s">
        <v>508</v>
      </c>
      <c r="G2336" s="71" t="s">
        <v>371</v>
      </c>
      <c r="H2336" s="71" t="s">
        <v>2776</v>
      </c>
      <c r="I2336" s="71" t="s">
        <v>2778</v>
      </c>
    </row>
    <row r="2337" spans="1:9" ht="43.5" x14ac:dyDescent="0.35">
      <c r="A2337" s="195">
        <v>16</v>
      </c>
      <c r="B2337" s="195">
        <v>91</v>
      </c>
      <c r="C2337" s="195" t="s">
        <v>2873</v>
      </c>
      <c r="D2337" s="64">
        <v>1665</v>
      </c>
      <c r="E2337" s="195" t="s">
        <v>373</v>
      </c>
      <c r="F2337" s="71" t="s">
        <v>508</v>
      </c>
      <c r="G2337" s="71" t="s">
        <v>371</v>
      </c>
      <c r="H2337" s="71" t="s">
        <v>2776</v>
      </c>
      <c r="I2337" s="71" t="s">
        <v>2780</v>
      </c>
    </row>
    <row r="2338" spans="1:9" ht="43.5" x14ac:dyDescent="0.35">
      <c r="A2338" s="195">
        <v>16</v>
      </c>
      <c r="B2338" s="195">
        <v>92</v>
      </c>
      <c r="C2338" s="195" t="s">
        <v>2874</v>
      </c>
      <c r="D2338" s="195">
        <v>540</v>
      </c>
      <c r="E2338" s="195" t="s">
        <v>373</v>
      </c>
      <c r="F2338" s="71" t="s">
        <v>508</v>
      </c>
      <c r="G2338" s="71" t="s">
        <v>371</v>
      </c>
      <c r="H2338" s="71" t="s">
        <v>2776</v>
      </c>
      <c r="I2338" s="71" t="s">
        <v>2782</v>
      </c>
    </row>
    <row r="2339" spans="1:9" ht="43.5" x14ac:dyDescent="0.35">
      <c r="A2339" s="195">
        <v>16</v>
      </c>
      <c r="B2339" s="195">
        <v>93</v>
      </c>
      <c r="C2339" s="195" t="s">
        <v>2875</v>
      </c>
      <c r="D2339" s="64">
        <v>57835</v>
      </c>
      <c r="E2339" s="195" t="s">
        <v>366</v>
      </c>
      <c r="F2339" s="71" t="s">
        <v>508</v>
      </c>
      <c r="G2339" s="71" t="s">
        <v>371</v>
      </c>
      <c r="H2339" s="71" t="s">
        <v>2784</v>
      </c>
      <c r="I2339" s="71" t="s">
        <v>2772</v>
      </c>
    </row>
    <row r="2340" spans="1:9" ht="43.5" x14ac:dyDescent="0.35">
      <c r="A2340" s="195">
        <v>16</v>
      </c>
      <c r="B2340" s="195">
        <v>94</v>
      </c>
      <c r="C2340" s="195" t="s">
        <v>2876</v>
      </c>
      <c r="D2340" s="64">
        <v>47495</v>
      </c>
      <c r="E2340" s="195" t="s">
        <v>373</v>
      </c>
      <c r="F2340" s="71" t="s">
        <v>508</v>
      </c>
      <c r="G2340" s="71" t="s">
        <v>371</v>
      </c>
      <c r="H2340" s="71" t="s">
        <v>2784</v>
      </c>
      <c r="I2340" s="71" t="s">
        <v>2778</v>
      </c>
    </row>
    <row r="2341" spans="1:9" ht="43.5" x14ac:dyDescent="0.35">
      <c r="A2341" s="195">
        <v>16</v>
      </c>
      <c r="B2341" s="195">
        <v>95</v>
      </c>
      <c r="C2341" s="195" t="s">
        <v>2877</v>
      </c>
      <c r="D2341" s="64">
        <v>4705</v>
      </c>
      <c r="E2341" s="195" t="s">
        <v>373</v>
      </c>
      <c r="F2341" s="71" t="s">
        <v>508</v>
      </c>
      <c r="G2341" s="71" t="s">
        <v>371</v>
      </c>
      <c r="H2341" s="71" t="s">
        <v>2784</v>
      </c>
      <c r="I2341" s="71" t="s">
        <v>2780</v>
      </c>
    </row>
    <row r="2342" spans="1:9" ht="43.5" x14ac:dyDescent="0.35">
      <c r="A2342" s="195">
        <v>16</v>
      </c>
      <c r="B2342" s="195">
        <v>96</v>
      </c>
      <c r="C2342" s="195" t="s">
        <v>2878</v>
      </c>
      <c r="D2342" s="64">
        <v>5635</v>
      </c>
      <c r="E2342" s="195" t="s">
        <v>373</v>
      </c>
      <c r="F2342" s="71" t="s">
        <v>508</v>
      </c>
      <c r="G2342" s="71" t="s">
        <v>371</v>
      </c>
      <c r="H2342" s="71" t="s">
        <v>2784</v>
      </c>
      <c r="I2342" s="71" t="s">
        <v>2782</v>
      </c>
    </row>
    <row r="2343" spans="1:9" ht="29" x14ac:dyDescent="0.35">
      <c r="A2343" s="195">
        <v>16</v>
      </c>
      <c r="B2343" s="195">
        <v>97</v>
      </c>
      <c r="C2343" s="195" t="s">
        <v>2879</v>
      </c>
      <c r="D2343" s="64">
        <v>18050</v>
      </c>
      <c r="E2343" s="195" t="s">
        <v>366</v>
      </c>
      <c r="F2343" s="71" t="s">
        <v>508</v>
      </c>
      <c r="G2343" s="71" t="s">
        <v>371</v>
      </c>
      <c r="H2343" s="71" t="s">
        <v>2789</v>
      </c>
      <c r="I2343" s="71" t="s">
        <v>2772</v>
      </c>
    </row>
    <row r="2344" spans="1:9" ht="29" x14ac:dyDescent="0.35">
      <c r="A2344" s="195">
        <v>16</v>
      </c>
      <c r="B2344" s="195">
        <v>98</v>
      </c>
      <c r="C2344" s="195" t="s">
        <v>2880</v>
      </c>
      <c r="D2344" s="64">
        <v>16795</v>
      </c>
      <c r="E2344" s="195" t="s">
        <v>373</v>
      </c>
      <c r="F2344" s="71" t="s">
        <v>508</v>
      </c>
      <c r="G2344" s="71" t="s">
        <v>371</v>
      </c>
      <c r="H2344" s="71" t="s">
        <v>2789</v>
      </c>
      <c r="I2344" s="71" t="s">
        <v>2778</v>
      </c>
    </row>
    <row r="2345" spans="1:9" ht="29" x14ac:dyDescent="0.35">
      <c r="A2345" s="195">
        <v>16</v>
      </c>
      <c r="B2345" s="195">
        <v>99</v>
      </c>
      <c r="C2345" s="195" t="s">
        <v>2881</v>
      </c>
      <c r="D2345" s="64">
        <v>770</v>
      </c>
      <c r="E2345" s="195" t="s">
        <v>373</v>
      </c>
      <c r="F2345" s="71" t="s">
        <v>508</v>
      </c>
      <c r="G2345" s="71" t="s">
        <v>371</v>
      </c>
      <c r="H2345" s="71" t="s">
        <v>2789</v>
      </c>
      <c r="I2345" s="71" t="s">
        <v>2780</v>
      </c>
    </row>
    <row r="2346" spans="1:9" ht="43.5" x14ac:dyDescent="0.35">
      <c r="A2346" s="195">
        <v>16</v>
      </c>
      <c r="B2346" s="195">
        <v>100</v>
      </c>
      <c r="C2346" s="195" t="s">
        <v>2882</v>
      </c>
      <c r="D2346" s="195">
        <v>485</v>
      </c>
      <c r="E2346" s="195" t="s">
        <v>373</v>
      </c>
      <c r="F2346" s="71" t="s">
        <v>508</v>
      </c>
      <c r="G2346" s="71" t="s">
        <v>371</v>
      </c>
      <c r="H2346" s="71" t="s">
        <v>2789</v>
      </c>
      <c r="I2346" s="71" t="s">
        <v>2782</v>
      </c>
    </row>
    <row r="2347" spans="1:9" ht="58" x14ac:dyDescent="0.35">
      <c r="A2347" s="195">
        <v>16</v>
      </c>
      <c r="B2347" s="195">
        <v>101</v>
      </c>
      <c r="C2347" s="195" t="s">
        <v>2883</v>
      </c>
      <c r="D2347" s="64">
        <v>40815</v>
      </c>
      <c r="E2347" s="195" t="s">
        <v>366</v>
      </c>
      <c r="F2347" s="71" t="s">
        <v>508</v>
      </c>
      <c r="G2347" s="71" t="s">
        <v>371</v>
      </c>
      <c r="H2347" s="71" t="s">
        <v>2794</v>
      </c>
      <c r="I2347" s="71" t="s">
        <v>2772</v>
      </c>
    </row>
    <row r="2348" spans="1:9" ht="58" x14ac:dyDescent="0.35">
      <c r="A2348" s="195">
        <v>16</v>
      </c>
      <c r="B2348" s="195">
        <v>102</v>
      </c>
      <c r="C2348" s="195" t="s">
        <v>2884</v>
      </c>
      <c r="D2348" s="64">
        <v>28500</v>
      </c>
      <c r="E2348" s="195" t="s">
        <v>373</v>
      </c>
      <c r="F2348" s="71" t="s">
        <v>508</v>
      </c>
      <c r="G2348" s="71" t="s">
        <v>371</v>
      </c>
      <c r="H2348" s="71" t="s">
        <v>2794</v>
      </c>
      <c r="I2348" s="71" t="s">
        <v>2778</v>
      </c>
    </row>
    <row r="2349" spans="1:9" ht="58" x14ac:dyDescent="0.35">
      <c r="A2349" s="195">
        <v>16</v>
      </c>
      <c r="B2349" s="195">
        <v>103</v>
      </c>
      <c r="C2349" s="195" t="s">
        <v>2885</v>
      </c>
      <c r="D2349" s="64">
        <v>10430</v>
      </c>
      <c r="E2349" s="195" t="s">
        <v>373</v>
      </c>
      <c r="F2349" s="71" t="s">
        <v>508</v>
      </c>
      <c r="G2349" s="71" t="s">
        <v>371</v>
      </c>
      <c r="H2349" s="71" t="s">
        <v>2794</v>
      </c>
      <c r="I2349" s="71" t="s">
        <v>2780</v>
      </c>
    </row>
    <row r="2350" spans="1:9" ht="58" x14ac:dyDescent="0.35">
      <c r="A2350" s="195">
        <v>16</v>
      </c>
      <c r="B2350" s="195">
        <v>104</v>
      </c>
      <c r="C2350" s="195" t="s">
        <v>2886</v>
      </c>
      <c r="D2350" s="64">
        <v>1885</v>
      </c>
      <c r="E2350" s="195" t="s">
        <v>373</v>
      </c>
      <c r="F2350" s="71" t="s">
        <v>508</v>
      </c>
      <c r="G2350" s="71" t="s">
        <v>371</v>
      </c>
      <c r="H2350" s="71" t="s">
        <v>2794</v>
      </c>
      <c r="I2350" s="71" t="s">
        <v>2782</v>
      </c>
    </row>
    <row r="2351" spans="1:9" ht="29" x14ac:dyDescent="0.35">
      <c r="A2351" s="195">
        <v>16</v>
      </c>
      <c r="B2351" s="195">
        <v>105</v>
      </c>
      <c r="C2351" s="195" t="s">
        <v>2887</v>
      </c>
      <c r="D2351" s="64">
        <v>66605</v>
      </c>
      <c r="E2351" s="195" t="s">
        <v>366</v>
      </c>
      <c r="F2351" s="71" t="s">
        <v>508</v>
      </c>
      <c r="G2351" s="71" t="s">
        <v>371</v>
      </c>
      <c r="H2351" s="71" t="s">
        <v>2799</v>
      </c>
      <c r="I2351" s="71" t="s">
        <v>2772</v>
      </c>
    </row>
    <row r="2352" spans="1:9" ht="29" x14ac:dyDescent="0.35">
      <c r="A2352" s="195">
        <v>16</v>
      </c>
      <c r="B2352" s="195">
        <v>106</v>
      </c>
      <c r="C2352" s="195" t="s">
        <v>2888</v>
      </c>
      <c r="D2352" s="64">
        <v>48550</v>
      </c>
      <c r="E2352" s="195" t="s">
        <v>373</v>
      </c>
      <c r="F2352" s="71" t="s">
        <v>508</v>
      </c>
      <c r="G2352" s="71" t="s">
        <v>371</v>
      </c>
      <c r="H2352" s="71" t="s">
        <v>2799</v>
      </c>
      <c r="I2352" s="71" t="s">
        <v>2778</v>
      </c>
    </row>
    <row r="2353" spans="1:9" ht="29" x14ac:dyDescent="0.35">
      <c r="A2353" s="195">
        <v>16</v>
      </c>
      <c r="B2353" s="195">
        <v>107</v>
      </c>
      <c r="C2353" s="195" t="s">
        <v>2889</v>
      </c>
      <c r="D2353" s="64">
        <v>5295</v>
      </c>
      <c r="E2353" s="195" t="s">
        <v>373</v>
      </c>
      <c r="F2353" s="71" t="s">
        <v>508</v>
      </c>
      <c r="G2353" s="71" t="s">
        <v>371</v>
      </c>
      <c r="H2353" s="71" t="s">
        <v>2799</v>
      </c>
      <c r="I2353" s="71" t="s">
        <v>2780</v>
      </c>
    </row>
    <row r="2354" spans="1:9" ht="43.5" x14ac:dyDescent="0.35">
      <c r="A2354" s="195">
        <v>16</v>
      </c>
      <c r="B2354" s="195">
        <v>108</v>
      </c>
      <c r="C2354" s="195" t="s">
        <v>2890</v>
      </c>
      <c r="D2354" s="64">
        <v>12760</v>
      </c>
      <c r="E2354" s="195" t="s">
        <v>373</v>
      </c>
      <c r="F2354" s="71" t="s">
        <v>508</v>
      </c>
      <c r="G2354" s="71" t="s">
        <v>371</v>
      </c>
      <c r="H2354" s="71" t="s">
        <v>2799</v>
      </c>
      <c r="I2354" s="71" t="s">
        <v>2782</v>
      </c>
    </row>
    <row r="2355" spans="1:9" ht="43.5" x14ac:dyDescent="0.35">
      <c r="A2355" s="195">
        <v>16</v>
      </c>
      <c r="B2355" s="195">
        <v>109</v>
      </c>
      <c r="C2355" s="195" t="s">
        <v>2891</v>
      </c>
      <c r="D2355" s="64">
        <v>99385</v>
      </c>
      <c r="E2355" s="195" t="s">
        <v>366</v>
      </c>
      <c r="F2355" s="71" t="s">
        <v>508</v>
      </c>
      <c r="G2355" s="71" t="s">
        <v>388</v>
      </c>
      <c r="H2355" s="71" t="s">
        <v>982</v>
      </c>
      <c r="I2355" s="71" t="s">
        <v>2772</v>
      </c>
    </row>
    <row r="2356" spans="1:9" ht="43.5" x14ac:dyDescent="0.35">
      <c r="A2356" s="195">
        <v>16</v>
      </c>
      <c r="B2356" s="195">
        <v>110</v>
      </c>
      <c r="C2356" s="195" t="s">
        <v>2892</v>
      </c>
      <c r="D2356" s="64">
        <v>5525</v>
      </c>
      <c r="E2356" s="195" t="s">
        <v>366</v>
      </c>
      <c r="F2356" s="71" t="s">
        <v>508</v>
      </c>
      <c r="G2356" s="71" t="s">
        <v>2805</v>
      </c>
      <c r="H2356" s="71" t="s">
        <v>2776</v>
      </c>
      <c r="I2356" s="71" t="s">
        <v>2772</v>
      </c>
    </row>
    <row r="2357" spans="1:9" ht="43.5" x14ac:dyDescent="0.35">
      <c r="A2357" s="195">
        <v>16</v>
      </c>
      <c r="B2357" s="195">
        <v>111</v>
      </c>
      <c r="C2357" s="195" t="s">
        <v>2893</v>
      </c>
      <c r="D2357" s="64">
        <v>4205</v>
      </c>
      <c r="E2357" s="195" t="s">
        <v>373</v>
      </c>
      <c r="F2357" s="71" t="s">
        <v>508</v>
      </c>
      <c r="G2357" s="71" t="s">
        <v>2805</v>
      </c>
      <c r="H2357" s="71" t="s">
        <v>2776</v>
      </c>
      <c r="I2357" s="71" t="s">
        <v>2778</v>
      </c>
    </row>
    <row r="2358" spans="1:9" ht="43.5" x14ac:dyDescent="0.35">
      <c r="A2358" s="195">
        <v>16</v>
      </c>
      <c r="B2358" s="195">
        <v>112</v>
      </c>
      <c r="C2358" s="195" t="s">
        <v>2894</v>
      </c>
      <c r="D2358" s="64">
        <v>1325</v>
      </c>
      <c r="E2358" s="195" t="s">
        <v>373</v>
      </c>
      <c r="F2358" s="71" t="s">
        <v>508</v>
      </c>
      <c r="G2358" s="71" t="s">
        <v>2805</v>
      </c>
      <c r="H2358" s="71" t="s">
        <v>2776</v>
      </c>
      <c r="I2358" s="71" t="s">
        <v>2780</v>
      </c>
    </row>
    <row r="2359" spans="1:9" ht="43.5" x14ac:dyDescent="0.35">
      <c r="A2359" s="195">
        <v>16</v>
      </c>
      <c r="B2359" s="195">
        <v>113</v>
      </c>
      <c r="C2359" s="195" t="s">
        <v>2895</v>
      </c>
      <c r="D2359" s="195">
        <v>0</v>
      </c>
      <c r="E2359" s="195" t="s">
        <v>373</v>
      </c>
      <c r="F2359" s="71" t="s">
        <v>508</v>
      </c>
      <c r="G2359" s="71" t="s">
        <v>2805</v>
      </c>
      <c r="H2359" s="71" t="s">
        <v>2776</v>
      </c>
      <c r="I2359" s="71" t="s">
        <v>2782</v>
      </c>
    </row>
    <row r="2360" spans="1:9" ht="43.5" x14ac:dyDescent="0.35">
      <c r="A2360" s="195">
        <v>16</v>
      </c>
      <c r="B2360" s="195">
        <v>114</v>
      </c>
      <c r="C2360" s="195" t="s">
        <v>2896</v>
      </c>
      <c r="D2360" s="64">
        <v>37235</v>
      </c>
      <c r="E2360" s="195" t="s">
        <v>366</v>
      </c>
      <c r="F2360" s="71" t="s">
        <v>508</v>
      </c>
      <c r="G2360" s="71" t="s">
        <v>388</v>
      </c>
      <c r="H2360" s="71" t="s">
        <v>2784</v>
      </c>
      <c r="I2360" s="71" t="s">
        <v>2772</v>
      </c>
    </row>
    <row r="2361" spans="1:9" ht="43.5" x14ac:dyDescent="0.35">
      <c r="A2361" s="195">
        <v>16</v>
      </c>
      <c r="B2361" s="195">
        <v>115</v>
      </c>
      <c r="C2361" s="195" t="s">
        <v>2897</v>
      </c>
      <c r="D2361" s="64">
        <v>27920</v>
      </c>
      <c r="E2361" s="195" t="s">
        <v>373</v>
      </c>
      <c r="F2361" s="71" t="s">
        <v>508</v>
      </c>
      <c r="G2361" s="71" t="s">
        <v>388</v>
      </c>
      <c r="H2361" s="71" t="s">
        <v>2784</v>
      </c>
      <c r="I2361" s="71" t="s">
        <v>2778</v>
      </c>
    </row>
    <row r="2362" spans="1:9" ht="43.5" x14ac:dyDescent="0.35">
      <c r="A2362" s="195">
        <v>16</v>
      </c>
      <c r="B2362" s="195">
        <v>116</v>
      </c>
      <c r="C2362" s="195" t="s">
        <v>2898</v>
      </c>
      <c r="D2362" s="64">
        <v>9315</v>
      </c>
      <c r="E2362" s="195" t="s">
        <v>373</v>
      </c>
      <c r="F2362" s="71" t="s">
        <v>508</v>
      </c>
      <c r="G2362" s="71" t="s">
        <v>388</v>
      </c>
      <c r="H2362" s="71" t="s">
        <v>2784</v>
      </c>
      <c r="I2362" s="71" t="s">
        <v>2780</v>
      </c>
    </row>
    <row r="2363" spans="1:9" ht="43.5" x14ac:dyDescent="0.35">
      <c r="A2363" s="195">
        <v>16</v>
      </c>
      <c r="B2363" s="195">
        <v>117</v>
      </c>
      <c r="C2363" s="195" t="s">
        <v>2899</v>
      </c>
      <c r="D2363" s="195">
        <v>0</v>
      </c>
      <c r="E2363" s="195" t="s">
        <v>373</v>
      </c>
      <c r="F2363" s="71" t="s">
        <v>508</v>
      </c>
      <c r="G2363" s="71" t="s">
        <v>388</v>
      </c>
      <c r="H2363" s="71" t="s">
        <v>2784</v>
      </c>
      <c r="I2363" s="71" t="s">
        <v>2782</v>
      </c>
    </row>
    <row r="2364" spans="1:9" ht="43.5" x14ac:dyDescent="0.35">
      <c r="A2364" s="195">
        <v>16</v>
      </c>
      <c r="B2364" s="195">
        <v>118</v>
      </c>
      <c r="C2364" s="195" t="s">
        <v>2900</v>
      </c>
      <c r="D2364" s="64">
        <v>11100</v>
      </c>
      <c r="E2364" s="195" t="s">
        <v>366</v>
      </c>
      <c r="F2364" s="71" t="s">
        <v>508</v>
      </c>
      <c r="G2364" s="71" t="s">
        <v>388</v>
      </c>
      <c r="H2364" s="71" t="s">
        <v>2789</v>
      </c>
      <c r="I2364" s="71" t="s">
        <v>2772</v>
      </c>
    </row>
    <row r="2365" spans="1:9" ht="43.5" x14ac:dyDescent="0.35">
      <c r="A2365" s="195">
        <v>16</v>
      </c>
      <c r="B2365" s="195">
        <v>119</v>
      </c>
      <c r="C2365" s="195" t="s">
        <v>2901</v>
      </c>
      <c r="D2365" s="64">
        <v>8870</v>
      </c>
      <c r="E2365" s="195" t="s">
        <v>373</v>
      </c>
      <c r="F2365" s="71" t="s">
        <v>508</v>
      </c>
      <c r="G2365" s="71" t="s">
        <v>388</v>
      </c>
      <c r="H2365" s="71" t="s">
        <v>2789</v>
      </c>
      <c r="I2365" s="71" t="s">
        <v>2778</v>
      </c>
    </row>
    <row r="2366" spans="1:9" ht="43.5" x14ac:dyDescent="0.35">
      <c r="A2366" s="195">
        <v>16</v>
      </c>
      <c r="B2366" s="195">
        <v>120</v>
      </c>
      <c r="C2366" s="195" t="s">
        <v>2902</v>
      </c>
      <c r="D2366" s="64">
        <v>2230</v>
      </c>
      <c r="E2366" s="195" t="s">
        <v>373</v>
      </c>
      <c r="F2366" s="71" t="s">
        <v>508</v>
      </c>
      <c r="G2366" s="71" t="s">
        <v>388</v>
      </c>
      <c r="H2366" s="71" t="s">
        <v>2789</v>
      </c>
      <c r="I2366" s="71" t="s">
        <v>2780</v>
      </c>
    </row>
    <row r="2367" spans="1:9" ht="43.5" x14ac:dyDescent="0.35">
      <c r="A2367" s="195">
        <v>16</v>
      </c>
      <c r="B2367" s="195">
        <v>121</v>
      </c>
      <c r="C2367" s="195" t="s">
        <v>2903</v>
      </c>
      <c r="D2367" s="195">
        <v>0</v>
      </c>
      <c r="E2367" s="195" t="s">
        <v>373</v>
      </c>
      <c r="F2367" s="71" t="s">
        <v>508</v>
      </c>
      <c r="G2367" s="71" t="s">
        <v>388</v>
      </c>
      <c r="H2367" s="71" t="s">
        <v>2789</v>
      </c>
      <c r="I2367" s="71" t="s">
        <v>2782</v>
      </c>
    </row>
    <row r="2368" spans="1:9" ht="58" x14ac:dyDescent="0.35">
      <c r="A2368" s="195">
        <v>16</v>
      </c>
      <c r="B2368" s="195">
        <v>122</v>
      </c>
      <c r="C2368" s="195" t="s">
        <v>2904</v>
      </c>
      <c r="D2368" s="64">
        <v>13110</v>
      </c>
      <c r="E2368" s="195" t="s">
        <v>366</v>
      </c>
      <c r="F2368" s="71" t="s">
        <v>508</v>
      </c>
      <c r="G2368" s="71" t="s">
        <v>388</v>
      </c>
      <c r="H2368" s="71" t="s">
        <v>2794</v>
      </c>
      <c r="I2368" s="71" t="s">
        <v>2772</v>
      </c>
    </row>
    <row r="2369" spans="1:9" ht="58" x14ac:dyDescent="0.35">
      <c r="A2369" s="195">
        <v>16</v>
      </c>
      <c r="B2369" s="195">
        <v>123</v>
      </c>
      <c r="C2369" s="195" t="s">
        <v>2905</v>
      </c>
      <c r="D2369" s="64">
        <v>8910</v>
      </c>
      <c r="E2369" s="195" t="s">
        <v>373</v>
      </c>
      <c r="F2369" s="71" t="s">
        <v>508</v>
      </c>
      <c r="G2369" s="71" t="s">
        <v>388</v>
      </c>
      <c r="H2369" s="71" t="s">
        <v>2794</v>
      </c>
      <c r="I2369" s="71" t="s">
        <v>2778</v>
      </c>
    </row>
    <row r="2370" spans="1:9" ht="58" x14ac:dyDescent="0.35">
      <c r="A2370" s="195">
        <v>16</v>
      </c>
      <c r="B2370" s="195">
        <v>124</v>
      </c>
      <c r="C2370" s="195" t="s">
        <v>2906</v>
      </c>
      <c r="D2370" s="64">
        <v>4205</v>
      </c>
      <c r="E2370" s="195" t="s">
        <v>373</v>
      </c>
      <c r="F2370" s="71" t="s">
        <v>508</v>
      </c>
      <c r="G2370" s="71" t="s">
        <v>388</v>
      </c>
      <c r="H2370" s="71" t="s">
        <v>2794</v>
      </c>
      <c r="I2370" s="71" t="s">
        <v>2780</v>
      </c>
    </row>
    <row r="2371" spans="1:9" ht="58" x14ac:dyDescent="0.35">
      <c r="A2371" s="195">
        <v>16</v>
      </c>
      <c r="B2371" s="195">
        <v>125</v>
      </c>
      <c r="C2371" s="195" t="s">
        <v>2907</v>
      </c>
      <c r="D2371" s="195">
        <v>0</v>
      </c>
      <c r="E2371" s="195" t="s">
        <v>373</v>
      </c>
      <c r="F2371" s="71" t="s">
        <v>508</v>
      </c>
      <c r="G2371" s="71" t="s">
        <v>388</v>
      </c>
      <c r="H2371" s="71" t="s">
        <v>2794</v>
      </c>
      <c r="I2371" s="71" t="s">
        <v>2782</v>
      </c>
    </row>
    <row r="2372" spans="1:9" ht="43.5" x14ac:dyDescent="0.35">
      <c r="A2372" s="195">
        <v>16</v>
      </c>
      <c r="B2372" s="195">
        <v>126</v>
      </c>
      <c r="C2372" s="195" t="s">
        <v>2908</v>
      </c>
      <c r="D2372" s="64">
        <v>32415</v>
      </c>
      <c r="E2372" s="195" t="s">
        <v>366</v>
      </c>
      <c r="F2372" s="71" t="s">
        <v>508</v>
      </c>
      <c r="G2372" s="71" t="s">
        <v>388</v>
      </c>
      <c r="H2372" s="71" t="s">
        <v>2799</v>
      </c>
      <c r="I2372" s="71" t="s">
        <v>2772</v>
      </c>
    </row>
    <row r="2373" spans="1:9" ht="43.5" x14ac:dyDescent="0.35">
      <c r="A2373" s="195">
        <v>16</v>
      </c>
      <c r="B2373" s="195">
        <v>127</v>
      </c>
      <c r="C2373" s="195" t="s">
        <v>2909</v>
      </c>
      <c r="D2373" s="64">
        <v>27835</v>
      </c>
      <c r="E2373" s="195" t="s">
        <v>373</v>
      </c>
      <c r="F2373" s="71" t="s">
        <v>508</v>
      </c>
      <c r="G2373" s="71" t="s">
        <v>388</v>
      </c>
      <c r="H2373" s="71" t="s">
        <v>2799</v>
      </c>
      <c r="I2373" s="71" t="s">
        <v>2778</v>
      </c>
    </row>
    <row r="2374" spans="1:9" ht="43.5" x14ac:dyDescent="0.35">
      <c r="A2374" s="195">
        <v>16</v>
      </c>
      <c r="B2374" s="195">
        <v>128</v>
      </c>
      <c r="C2374" s="195" t="s">
        <v>2910</v>
      </c>
      <c r="D2374" s="64">
        <v>4580</v>
      </c>
      <c r="E2374" s="195" t="s">
        <v>373</v>
      </c>
      <c r="F2374" s="71" t="s">
        <v>508</v>
      </c>
      <c r="G2374" s="71" t="s">
        <v>388</v>
      </c>
      <c r="H2374" s="71" t="s">
        <v>2799</v>
      </c>
      <c r="I2374" s="71" t="s">
        <v>2780</v>
      </c>
    </row>
    <row r="2375" spans="1:9" ht="43.5" x14ac:dyDescent="0.35">
      <c r="A2375" s="195">
        <v>16</v>
      </c>
      <c r="B2375" s="195">
        <v>129</v>
      </c>
      <c r="C2375" s="195" t="s">
        <v>2911</v>
      </c>
      <c r="D2375" s="195">
        <v>0</v>
      </c>
      <c r="E2375" s="195" t="s">
        <v>373</v>
      </c>
      <c r="F2375" s="71" t="s">
        <v>508</v>
      </c>
      <c r="G2375" s="71" t="s">
        <v>388</v>
      </c>
      <c r="H2375" s="71" t="s">
        <v>2799</v>
      </c>
      <c r="I2375" s="71" t="s">
        <v>2782</v>
      </c>
    </row>
    <row r="2376" spans="1:9" ht="43.5" x14ac:dyDescent="0.35">
      <c r="A2376" s="195">
        <v>16</v>
      </c>
      <c r="B2376" s="195">
        <v>130</v>
      </c>
      <c r="C2376" s="195" t="s">
        <v>2912</v>
      </c>
      <c r="D2376" s="64">
        <v>99385</v>
      </c>
      <c r="E2376" s="195" t="s">
        <v>366</v>
      </c>
      <c r="F2376" s="71" t="s">
        <v>508</v>
      </c>
      <c r="G2376" s="71" t="s">
        <v>397</v>
      </c>
      <c r="H2376" s="71" t="s">
        <v>982</v>
      </c>
      <c r="I2376" s="71" t="s">
        <v>2772</v>
      </c>
    </row>
    <row r="2377" spans="1:9" ht="43.5" x14ac:dyDescent="0.35">
      <c r="A2377" s="195">
        <v>16</v>
      </c>
      <c r="B2377" s="195">
        <v>131</v>
      </c>
      <c r="C2377" s="195" t="s">
        <v>2913</v>
      </c>
      <c r="D2377" s="64">
        <v>4455</v>
      </c>
      <c r="E2377" s="195" t="s">
        <v>366</v>
      </c>
      <c r="F2377" s="71" t="s">
        <v>508</v>
      </c>
      <c r="G2377" s="71" t="s">
        <v>2827</v>
      </c>
      <c r="H2377" s="71" t="s">
        <v>2776</v>
      </c>
      <c r="I2377" s="71" t="s">
        <v>2772</v>
      </c>
    </row>
    <row r="2378" spans="1:9" ht="43.5" x14ac:dyDescent="0.35">
      <c r="A2378" s="195">
        <v>16</v>
      </c>
      <c r="B2378" s="195">
        <v>132</v>
      </c>
      <c r="C2378" s="195" t="s">
        <v>2914</v>
      </c>
      <c r="D2378" s="64">
        <v>1305</v>
      </c>
      <c r="E2378" s="195" t="s">
        <v>373</v>
      </c>
      <c r="F2378" s="71" t="s">
        <v>508</v>
      </c>
      <c r="G2378" s="71" t="s">
        <v>2827</v>
      </c>
      <c r="H2378" s="71" t="s">
        <v>2776</v>
      </c>
      <c r="I2378" s="71" t="s">
        <v>2778</v>
      </c>
    </row>
    <row r="2379" spans="1:9" ht="43.5" x14ac:dyDescent="0.35">
      <c r="A2379" s="195">
        <v>16</v>
      </c>
      <c r="B2379" s="195">
        <v>133</v>
      </c>
      <c r="C2379" s="195" t="s">
        <v>2915</v>
      </c>
      <c r="D2379" s="64">
        <v>3150</v>
      </c>
      <c r="E2379" s="195" t="s">
        <v>373</v>
      </c>
      <c r="F2379" s="71" t="s">
        <v>508</v>
      </c>
      <c r="G2379" s="71" t="s">
        <v>2827</v>
      </c>
      <c r="H2379" s="71" t="s">
        <v>2776</v>
      </c>
      <c r="I2379" s="71" t="s">
        <v>2780</v>
      </c>
    </row>
    <row r="2380" spans="1:9" ht="43.5" x14ac:dyDescent="0.35">
      <c r="A2380" s="195">
        <v>16</v>
      </c>
      <c r="B2380" s="195">
        <v>134</v>
      </c>
      <c r="C2380" s="195" t="s">
        <v>2916</v>
      </c>
      <c r="D2380" s="195">
        <v>0</v>
      </c>
      <c r="E2380" s="195" t="s">
        <v>373</v>
      </c>
      <c r="F2380" s="71" t="s">
        <v>508</v>
      </c>
      <c r="G2380" s="71" t="s">
        <v>2827</v>
      </c>
      <c r="H2380" s="71" t="s">
        <v>2776</v>
      </c>
      <c r="I2380" s="71" t="s">
        <v>2782</v>
      </c>
    </row>
    <row r="2381" spans="1:9" ht="43.5" x14ac:dyDescent="0.35">
      <c r="A2381" s="195">
        <v>16</v>
      </c>
      <c r="B2381" s="195">
        <v>135</v>
      </c>
      <c r="C2381" s="195" t="s">
        <v>2917</v>
      </c>
      <c r="D2381" s="64">
        <v>34400</v>
      </c>
      <c r="E2381" s="195" t="s">
        <v>366</v>
      </c>
      <c r="F2381" s="71" t="s">
        <v>508</v>
      </c>
      <c r="G2381" s="71" t="s">
        <v>397</v>
      </c>
      <c r="H2381" s="71" t="s">
        <v>2784</v>
      </c>
      <c r="I2381" s="71" t="s">
        <v>2772</v>
      </c>
    </row>
    <row r="2382" spans="1:9" ht="43.5" x14ac:dyDescent="0.35">
      <c r="A2382" s="195">
        <v>16</v>
      </c>
      <c r="B2382" s="195">
        <v>136</v>
      </c>
      <c r="C2382" s="195" t="s">
        <v>2918</v>
      </c>
      <c r="D2382" s="64">
        <v>10675</v>
      </c>
      <c r="E2382" s="195" t="s">
        <v>373</v>
      </c>
      <c r="F2382" s="71" t="s">
        <v>508</v>
      </c>
      <c r="G2382" s="71" t="s">
        <v>397</v>
      </c>
      <c r="H2382" s="71" t="s">
        <v>2784</v>
      </c>
      <c r="I2382" s="71" t="s">
        <v>2778</v>
      </c>
    </row>
    <row r="2383" spans="1:9" ht="43.5" x14ac:dyDescent="0.35">
      <c r="A2383" s="195">
        <v>16</v>
      </c>
      <c r="B2383" s="195">
        <v>137</v>
      </c>
      <c r="C2383" s="195" t="s">
        <v>2919</v>
      </c>
      <c r="D2383" s="64">
        <v>23725</v>
      </c>
      <c r="E2383" s="195" t="s">
        <v>373</v>
      </c>
      <c r="F2383" s="71" t="s">
        <v>508</v>
      </c>
      <c r="G2383" s="71" t="s">
        <v>397</v>
      </c>
      <c r="H2383" s="71" t="s">
        <v>2784</v>
      </c>
      <c r="I2383" s="71" t="s">
        <v>2780</v>
      </c>
    </row>
    <row r="2384" spans="1:9" ht="43.5" x14ac:dyDescent="0.35">
      <c r="A2384" s="195">
        <v>16</v>
      </c>
      <c r="B2384" s="195">
        <v>138</v>
      </c>
      <c r="C2384" s="195" t="s">
        <v>2920</v>
      </c>
      <c r="D2384" s="195">
        <v>0</v>
      </c>
      <c r="E2384" s="195" t="s">
        <v>373</v>
      </c>
      <c r="F2384" s="71" t="s">
        <v>508</v>
      </c>
      <c r="G2384" s="71" t="s">
        <v>397</v>
      </c>
      <c r="H2384" s="71" t="s">
        <v>2784</v>
      </c>
      <c r="I2384" s="71" t="s">
        <v>2782</v>
      </c>
    </row>
    <row r="2385" spans="1:9" ht="43.5" x14ac:dyDescent="0.35">
      <c r="A2385" s="195">
        <v>16</v>
      </c>
      <c r="B2385" s="195">
        <v>139</v>
      </c>
      <c r="C2385" s="195" t="s">
        <v>2921</v>
      </c>
      <c r="D2385" s="64">
        <v>8680</v>
      </c>
      <c r="E2385" s="195" t="s">
        <v>366</v>
      </c>
      <c r="F2385" s="71" t="s">
        <v>508</v>
      </c>
      <c r="G2385" s="71" t="s">
        <v>397</v>
      </c>
      <c r="H2385" s="71" t="s">
        <v>2789</v>
      </c>
      <c r="I2385" s="71" t="s">
        <v>2772</v>
      </c>
    </row>
    <row r="2386" spans="1:9" ht="43.5" x14ac:dyDescent="0.35">
      <c r="A2386" s="195">
        <v>16</v>
      </c>
      <c r="B2386" s="195">
        <v>140</v>
      </c>
      <c r="C2386" s="195" t="s">
        <v>2922</v>
      </c>
      <c r="D2386" s="64">
        <v>4350</v>
      </c>
      <c r="E2386" s="195" t="s">
        <v>373</v>
      </c>
      <c r="F2386" s="71" t="s">
        <v>508</v>
      </c>
      <c r="G2386" s="71" t="s">
        <v>397</v>
      </c>
      <c r="H2386" s="71" t="s">
        <v>2789</v>
      </c>
      <c r="I2386" s="71" t="s">
        <v>2778</v>
      </c>
    </row>
    <row r="2387" spans="1:9" ht="43.5" x14ac:dyDescent="0.35">
      <c r="A2387" s="195">
        <v>16</v>
      </c>
      <c r="B2387" s="195">
        <v>141</v>
      </c>
      <c r="C2387" s="195" t="s">
        <v>2923</v>
      </c>
      <c r="D2387" s="64">
        <v>4330</v>
      </c>
      <c r="E2387" s="195" t="s">
        <v>373</v>
      </c>
      <c r="F2387" s="71" t="s">
        <v>508</v>
      </c>
      <c r="G2387" s="71" t="s">
        <v>397</v>
      </c>
      <c r="H2387" s="71" t="s">
        <v>2789</v>
      </c>
      <c r="I2387" s="71" t="s">
        <v>2780</v>
      </c>
    </row>
    <row r="2388" spans="1:9" ht="43.5" x14ac:dyDescent="0.35">
      <c r="A2388" s="195">
        <v>16</v>
      </c>
      <c r="B2388" s="195">
        <v>142</v>
      </c>
      <c r="C2388" s="195" t="s">
        <v>2924</v>
      </c>
      <c r="D2388" s="195">
        <v>0</v>
      </c>
      <c r="E2388" s="195" t="s">
        <v>373</v>
      </c>
      <c r="F2388" s="71" t="s">
        <v>508</v>
      </c>
      <c r="G2388" s="71" t="s">
        <v>397</v>
      </c>
      <c r="H2388" s="71" t="s">
        <v>2789</v>
      </c>
      <c r="I2388" s="71" t="s">
        <v>2782</v>
      </c>
    </row>
    <row r="2389" spans="1:9" ht="58" x14ac:dyDescent="0.35">
      <c r="A2389" s="195">
        <v>16</v>
      </c>
      <c r="B2389" s="195">
        <v>143</v>
      </c>
      <c r="C2389" s="195" t="s">
        <v>2925</v>
      </c>
      <c r="D2389" s="64">
        <v>6985</v>
      </c>
      <c r="E2389" s="195" t="s">
        <v>366</v>
      </c>
      <c r="F2389" s="71" t="s">
        <v>508</v>
      </c>
      <c r="G2389" s="71" t="s">
        <v>397</v>
      </c>
      <c r="H2389" s="71" t="s">
        <v>2794</v>
      </c>
      <c r="I2389" s="71" t="s">
        <v>2772</v>
      </c>
    </row>
    <row r="2390" spans="1:9" ht="58" x14ac:dyDescent="0.35">
      <c r="A2390" s="195">
        <v>16</v>
      </c>
      <c r="B2390" s="195">
        <v>144</v>
      </c>
      <c r="C2390" s="195" t="s">
        <v>2926</v>
      </c>
      <c r="D2390" s="64">
        <v>2935</v>
      </c>
      <c r="E2390" s="195" t="s">
        <v>373</v>
      </c>
      <c r="F2390" s="71" t="s">
        <v>508</v>
      </c>
      <c r="G2390" s="71" t="s">
        <v>397</v>
      </c>
      <c r="H2390" s="71" t="s">
        <v>2794</v>
      </c>
      <c r="I2390" s="71" t="s">
        <v>2778</v>
      </c>
    </row>
    <row r="2391" spans="1:9" ht="58" x14ac:dyDescent="0.35">
      <c r="A2391" s="195">
        <v>16</v>
      </c>
      <c r="B2391" s="195">
        <v>145</v>
      </c>
      <c r="C2391" s="195" t="s">
        <v>2927</v>
      </c>
      <c r="D2391" s="64">
        <v>4050</v>
      </c>
      <c r="E2391" s="195" t="s">
        <v>373</v>
      </c>
      <c r="F2391" s="71" t="s">
        <v>508</v>
      </c>
      <c r="G2391" s="71" t="s">
        <v>397</v>
      </c>
      <c r="H2391" s="71" t="s">
        <v>2794</v>
      </c>
      <c r="I2391" s="71" t="s">
        <v>2780</v>
      </c>
    </row>
    <row r="2392" spans="1:9" ht="58" x14ac:dyDescent="0.35">
      <c r="A2392" s="195">
        <v>16</v>
      </c>
      <c r="B2392" s="195">
        <v>146</v>
      </c>
      <c r="C2392" s="195" t="s">
        <v>2928</v>
      </c>
      <c r="D2392" s="195">
        <v>0</v>
      </c>
      <c r="E2392" s="195" t="s">
        <v>373</v>
      </c>
      <c r="F2392" s="71" t="s">
        <v>508</v>
      </c>
      <c r="G2392" s="71" t="s">
        <v>397</v>
      </c>
      <c r="H2392" s="71" t="s">
        <v>2794</v>
      </c>
      <c r="I2392" s="71" t="s">
        <v>2782</v>
      </c>
    </row>
    <row r="2393" spans="1:9" ht="43.5" x14ac:dyDescent="0.35">
      <c r="A2393" s="195">
        <v>16</v>
      </c>
      <c r="B2393" s="195">
        <v>147</v>
      </c>
      <c r="C2393" s="195" t="s">
        <v>2929</v>
      </c>
      <c r="D2393" s="64">
        <v>44860</v>
      </c>
      <c r="E2393" s="195" t="s">
        <v>366</v>
      </c>
      <c r="F2393" s="71" t="s">
        <v>508</v>
      </c>
      <c r="G2393" s="71" t="s">
        <v>397</v>
      </c>
      <c r="H2393" s="71" t="s">
        <v>2799</v>
      </c>
      <c r="I2393" s="71" t="s">
        <v>2772</v>
      </c>
    </row>
    <row r="2394" spans="1:9" ht="43.5" x14ac:dyDescent="0.35">
      <c r="A2394" s="195">
        <v>16</v>
      </c>
      <c r="B2394" s="195">
        <v>148</v>
      </c>
      <c r="C2394" s="195" t="s">
        <v>2930</v>
      </c>
      <c r="D2394" s="64">
        <v>21265</v>
      </c>
      <c r="E2394" s="195" t="s">
        <v>373</v>
      </c>
      <c r="F2394" s="71" t="s">
        <v>508</v>
      </c>
      <c r="G2394" s="71" t="s">
        <v>397</v>
      </c>
      <c r="H2394" s="71" t="s">
        <v>2799</v>
      </c>
      <c r="I2394" s="71" t="s">
        <v>2778</v>
      </c>
    </row>
    <row r="2395" spans="1:9" ht="43.5" x14ac:dyDescent="0.35">
      <c r="A2395" s="195">
        <v>16</v>
      </c>
      <c r="B2395" s="195">
        <v>149</v>
      </c>
      <c r="C2395" s="195" t="s">
        <v>2931</v>
      </c>
      <c r="D2395" s="64">
        <v>23595</v>
      </c>
      <c r="E2395" s="195" t="s">
        <v>373</v>
      </c>
      <c r="F2395" s="71" t="s">
        <v>508</v>
      </c>
      <c r="G2395" s="71" t="s">
        <v>397</v>
      </c>
      <c r="H2395" s="71" t="s">
        <v>2799</v>
      </c>
      <c r="I2395" s="71" t="s">
        <v>2780</v>
      </c>
    </row>
    <row r="2396" spans="1:9" ht="43.5" x14ac:dyDescent="0.35">
      <c r="A2396" s="195">
        <v>16</v>
      </c>
      <c r="B2396" s="195">
        <v>150</v>
      </c>
      <c r="C2396" s="195" t="s">
        <v>2932</v>
      </c>
      <c r="D2396" s="195">
        <v>0</v>
      </c>
      <c r="E2396" s="195" t="s">
        <v>373</v>
      </c>
      <c r="F2396" s="71" t="s">
        <v>508</v>
      </c>
      <c r="G2396" s="71" t="s">
        <v>397</v>
      </c>
      <c r="H2396" s="71" t="s">
        <v>2799</v>
      </c>
      <c r="I2396" s="71" t="s">
        <v>2782</v>
      </c>
    </row>
    <row r="2397" spans="1:9" ht="29" x14ac:dyDescent="0.35">
      <c r="A2397" s="195">
        <v>16</v>
      </c>
      <c r="B2397" s="195">
        <v>151</v>
      </c>
      <c r="C2397" s="195" t="s">
        <v>2933</v>
      </c>
      <c r="D2397" s="64">
        <v>192480</v>
      </c>
      <c r="E2397" s="195" t="s">
        <v>366</v>
      </c>
      <c r="F2397" s="71" t="s">
        <v>508</v>
      </c>
      <c r="G2397" s="71" t="s">
        <v>2848</v>
      </c>
      <c r="H2397" s="71" t="s">
        <v>982</v>
      </c>
      <c r="I2397" s="71" t="s">
        <v>2772</v>
      </c>
    </row>
    <row r="2398" spans="1:9" ht="43.5" x14ac:dyDescent="0.35">
      <c r="A2398" s="195">
        <v>16</v>
      </c>
      <c r="B2398" s="195">
        <v>152</v>
      </c>
      <c r="C2398" s="195" t="s">
        <v>2934</v>
      </c>
      <c r="D2398" s="64">
        <v>4960</v>
      </c>
      <c r="E2398" s="195" t="s">
        <v>366</v>
      </c>
      <c r="F2398" s="71" t="s">
        <v>508</v>
      </c>
      <c r="G2398" s="71" t="s">
        <v>2848</v>
      </c>
      <c r="H2398" s="71" t="s">
        <v>2776</v>
      </c>
      <c r="I2398" s="71" t="s">
        <v>2772</v>
      </c>
    </row>
    <row r="2399" spans="1:9" ht="43.5" x14ac:dyDescent="0.35">
      <c r="A2399" s="195">
        <v>16</v>
      </c>
      <c r="B2399" s="195">
        <v>153</v>
      </c>
      <c r="C2399" s="195" t="s">
        <v>2935</v>
      </c>
      <c r="D2399" s="64">
        <v>555</v>
      </c>
      <c r="E2399" s="195" t="s">
        <v>373</v>
      </c>
      <c r="F2399" s="71" t="s">
        <v>508</v>
      </c>
      <c r="G2399" s="71" t="s">
        <v>2848</v>
      </c>
      <c r="H2399" s="71" t="s">
        <v>2776</v>
      </c>
      <c r="I2399" s="71" t="s">
        <v>2778</v>
      </c>
    </row>
    <row r="2400" spans="1:9" ht="43.5" x14ac:dyDescent="0.35">
      <c r="A2400" s="195">
        <v>16</v>
      </c>
      <c r="B2400" s="195">
        <v>154</v>
      </c>
      <c r="C2400" s="195" t="s">
        <v>2936</v>
      </c>
      <c r="D2400" s="64">
        <v>4405</v>
      </c>
      <c r="E2400" s="195" t="s">
        <v>373</v>
      </c>
      <c r="F2400" s="71" t="s">
        <v>508</v>
      </c>
      <c r="G2400" s="71" t="s">
        <v>2848</v>
      </c>
      <c r="H2400" s="71" t="s">
        <v>2776</v>
      </c>
      <c r="I2400" s="71" t="s">
        <v>2780</v>
      </c>
    </row>
    <row r="2401" spans="1:9" ht="43.5" x14ac:dyDescent="0.35">
      <c r="A2401" s="195">
        <v>16</v>
      </c>
      <c r="B2401" s="195">
        <v>155</v>
      </c>
      <c r="C2401" s="195" t="s">
        <v>2937</v>
      </c>
      <c r="D2401" s="195">
        <v>0</v>
      </c>
      <c r="E2401" s="195" t="s">
        <v>373</v>
      </c>
      <c r="F2401" s="71" t="s">
        <v>508</v>
      </c>
      <c r="G2401" s="71" t="s">
        <v>2848</v>
      </c>
      <c r="H2401" s="71" t="s">
        <v>2776</v>
      </c>
      <c r="I2401" s="71" t="s">
        <v>2782</v>
      </c>
    </row>
    <row r="2402" spans="1:9" ht="43.5" x14ac:dyDescent="0.35">
      <c r="A2402" s="195">
        <v>16</v>
      </c>
      <c r="B2402" s="195">
        <v>156</v>
      </c>
      <c r="C2402" s="195" t="s">
        <v>2938</v>
      </c>
      <c r="D2402" s="64">
        <v>64895</v>
      </c>
      <c r="E2402" s="195" t="s">
        <v>366</v>
      </c>
      <c r="F2402" s="71" t="s">
        <v>508</v>
      </c>
      <c r="G2402" s="71" t="s">
        <v>2848</v>
      </c>
      <c r="H2402" s="71" t="s">
        <v>2784</v>
      </c>
      <c r="I2402" s="71" t="s">
        <v>2772</v>
      </c>
    </row>
    <row r="2403" spans="1:9" ht="43.5" x14ac:dyDescent="0.35">
      <c r="A2403" s="195">
        <v>16</v>
      </c>
      <c r="B2403" s="195">
        <v>157</v>
      </c>
      <c r="C2403" s="195" t="s">
        <v>2939</v>
      </c>
      <c r="D2403" s="64">
        <v>5505</v>
      </c>
      <c r="E2403" s="195" t="s">
        <v>373</v>
      </c>
      <c r="F2403" s="71" t="s">
        <v>508</v>
      </c>
      <c r="G2403" s="71" t="s">
        <v>2848</v>
      </c>
      <c r="H2403" s="71" t="s">
        <v>2784</v>
      </c>
      <c r="I2403" s="71" t="s">
        <v>2778</v>
      </c>
    </row>
    <row r="2404" spans="1:9" ht="43.5" x14ac:dyDescent="0.35">
      <c r="A2404" s="195">
        <v>16</v>
      </c>
      <c r="B2404" s="195">
        <v>158</v>
      </c>
      <c r="C2404" s="195" t="s">
        <v>2940</v>
      </c>
      <c r="D2404" s="64">
        <v>59385</v>
      </c>
      <c r="E2404" s="195" t="s">
        <v>373</v>
      </c>
      <c r="F2404" s="71" t="s">
        <v>508</v>
      </c>
      <c r="G2404" s="71" t="s">
        <v>2848</v>
      </c>
      <c r="H2404" s="71" t="s">
        <v>2784</v>
      </c>
      <c r="I2404" s="71" t="s">
        <v>2780</v>
      </c>
    </row>
    <row r="2405" spans="1:9" ht="43.5" x14ac:dyDescent="0.35">
      <c r="A2405" s="195">
        <v>16</v>
      </c>
      <c r="B2405" s="195">
        <v>159</v>
      </c>
      <c r="C2405" s="195" t="s">
        <v>2941</v>
      </c>
      <c r="D2405" s="195">
        <v>0</v>
      </c>
      <c r="E2405" s="195" t="s">
        <v>373</v>
      </c>
      <c r="F2405" s="71" t="s">
        <v>508</v>
      </c>
      <c r="G2405" s="71" t="s">
        <v>2848</v>
      </c>
      <c r="H2405" s="71" t="s">
        <v>2784</v>
      </c>
      <c r="I2405" s="71" t="s">
        <v>2782</v>
      </c>
    </row>
    <row r="2406" spans="1:9" ht="29" x14ac:dyDescent="0.35">
      <c r="A2406" s="195">
        <v>16</v>
      </c>
      <c r="B2406" s="195">
        <v>160</v>
      </c>
      <c r="C2406" s="195" t="s">
        <v>2942</v>
      </c>
      <c r="D2406" s="64">
        <v>6350</v>
      </c>
      <c r="E2406" s="195" t="s">
        <v>366</v>
      </c>
      <c r="F2406" s="71" t="s">
        <v>508</v>
      </c>
      <c r="G2406" s="71" t="s">
        <v>2848</v>
      </c>
      <c r="H2406" s="71" t="s">
        <v>2789</v>
      </c>
      <c r="I2406" s="71" t="s">
        <v>2772</v>
      </c>
    </row>
    <row r="2407" spans="1:9" ht="29" x14ac:dyDescent="0.35">
      <c r="A2407" s="195">
        <v>16</v>
      </c>
      <c r="B2407" s="195">
        <v>161</v>
      </c>
      <c r="C2407" s="195" t="s">
        <v>2943</v>
      </c>
      <c r="D2407" s="64">
        <v>2270</v>
      </c>
      <c r="E2407" s="195" t="s">
        <v>373</v>
      </c>
      <c r="F2407" s="71" t="s">
        <v>508</v>
      </c>
      <c r="G2407" s="71" t="s">
        <v>2848</v>
      </c>
      <c r="H2407" s="71" t="s">
        <v>2789</v>
      </c>
      <c r="I2407" s="71" t="s">
        <v>2778</v>
      </c>
    </row>
    <row r="2408" spans="1:9" ht="29" x14ac:dyDescent="0.35">
      <c r="A2408" s="195">
        <v>16</v>
      </c>
      <c r="B2408" s="195">
        <v>162</v>
      </c>
      <c r="C2408" s="195" t="s">
        <v>2944</v>
      </c>
      <c r="D2408" s="64">
        <v>4080</v>
      </c>
      <c r="E2408" s="195" t="s">
        <v>373</v>
      </c>
      <c r="F2408" s="71" t="s">
        <v>508</v>
      </c>
      <c r="G2408" s="71" t="s">
        <v>2848</v>
      </c>
      <c r="H2408" s="71" t="s">
        <v>2789</v>
      </c>
      <c r="I2408" s="71" t="s">
        <v>2780</v>
      </c>
    </row>
    <row r="2409" spans="1:9" ht="43.5" x14ac:dyDescent="0.35">
      <c r="A2409" s="195">
        <v>16</v>
      </c>
      <c r="B2409" s="195">
        <v>163</v>
      </c>
      <c r="C2409" s="195" t="s">
        <v>2945</v>
      </c>
      <c r="D2409" s="195">
        <v>0</v>
      </c>
      <c r="E2409" s="195" t="s">
        <v>373</v>
      </c>
      <c r="F2409" s="71" t="s">
        <v>508</v>
      </c>
      <c r="G2409" s="71" t="s">
        <v>2848</v>
      </c>
      <c r="H2409" s="71" t="s">
        <v>2789</v>
      </c>
      <c r="I2409" s="71" t="s">
        <v>2782</v>
      </c>
    </row>
    <row r="2410" spans="1:9" ht="58" x14ac:dyDescent="0.35">
      <c r="A2410" s="195">
        <v>16</v>
      </c>
      <c r="B2410" s="195">
        <v>164</v>
      </c>
      <c r="C2410" s="195" t="s">
        <v>2946</v>
      </c>
      <c r="D2410" s="64">
        <v>6695</v>
      </c>
      <c r="E2410" s="195" t="s">
        <v>366</v>
      </c>
      <c r="F2410" s="71" t="s">
        <v>508</v>
      </c>
      <c r="G2410" s="71" t="s">
        <v>2848</v>
      </c>
      <c r="H2410" s="71" t="s">
        <v>2794</v>
      </c>
      <c r="I2410" s="71" t="s">
        <v>2772</v>
      </c>
    </row>
    <row r="2411" spans="1:9" ht="58" x14ac:dyDescent="0.35">
      <c r="A2411" s="195">
        <v>16</v>
      </c>
      <c r="B2411" s="195">
        <v>165</v>
      </c>
      <c r="C2411" s="195" t="s">
        <v>2947</v>
      </c>
      <c r="D2411" s="64">
        <v>1080</v>
      </c>
      <c r="E2411" s="195" t="s">
        <v>373</v>
      </c>
      <c r="F2411" s="71" t="s">
        <v>508</v>
      </c>
      <c r="G2411" s="71" t="s">
        <v>2848</v>
      </c>
      <c r="H2411" s="71" t="s">
        <v>2794</v>
      </c>
      <c r="I2411" s="71" t="s">
        <v>2778</v>
      </c>
    </row>
    <row r="2412" spans="1:9" ht="58" x14ac:dyDescent="0.35">
      <c r="A2412" s="195">
        <v>16</v>
      </c>
      <c r="B2412" s="195">
        <v>166</v>
      </c>
      <c r="C2412" s="195" t="s">
        <v>2948</v>
      </c>
      <c r="D2412" s="64">
        <v>5615</v>
      </c>
      <c r="E2412" s="195" t="s">
        <v>373</v>
      </c>
      <c r="F2412" s="71" t="s">
        <v>508</v>
      </c>
      <c r="G2412" s="71" t="s">
        <v>2848</v>
      </c>
      <c r="H2412" s="71" t="s">
        <v>2794</v>
      </c>
      <c r="I2412" s="71" t="s">
        <v>2780</v>
      </c>
    </row>
    <row r="2413" spans="1:9" ht="58" x14ac:dyDescent="0.35">
      <c r="A2413" s="195">
        <v>16</v>
      </c>
      <c r="B2413" s="195">
        <v>167</v>
      </c>
      <c r="C2413" s="195" t="s">
        <v>2949</v>
      </c>
      <c r="D2413" s="195">
        <v>0</v>
      </c>
      <c r="E2413" s="195" t="s">
        <v>373</v>
      </c>
      <c r="F2413" s="71" t="s">
        <v>508</v>
      </c>
      <c r="G2413" s="71" t="s">
        <v>2848</v>
      </c>
      <c r="H2413" s="71" t="s">
        <v>2794</v>
      </c>
      <c r="I2413" s="71" t="s">
        <v>2782</v>
      </c>
    </row>
    <row r="2414" spans="1:9" ht="29" x14ac:dyDescent="0.35">
      <c r="A2414" s="195">
        <v>16</v>
      </c>
      <c r="B2414" s="195">
        <v>168</v>
      </c>
      <c r="C2414" s="195" t="s">
        <v>2950</v>
      </c>
      <c r="D2414" s="64">
        <v>109585</v>
      </c>
      <c r="E2414" s="195" t="s">
        <v>366</v>
      </c>
      <c r="F2414" s="71" t="s">
        <v>508</v>
      </c>
      <c r="G2414" s="71" t="s">
        <v>2848</v>
      </c>
      <c r="H2414" s="71" t="s">
        <v>2799</v>
      </c>
      <c r="I2414" s="71" t="s">
        <v>2772</v>
      </c>
    </row>
    <row r="2415" spans="1:9" ht="29" x14ac:dyDescent="0.35">
      <c r="A2415" s="195">
        <v>16</v>
      </c>
      <c r="B2415" s="195">
        <v>169</v>
      </c>
      <c r="C2415" s="195" t="s">
        <v>2951</v>
      </c>
      <c r="D2415" s="64">
        <v>13800</v>
      </c>
      <c r="E2415" s="195" t="s">
        <v>373</v>
      </c>
      <c r="F2415" s="71" t="s">
        <v>508</v>
      </c>
      <c r="G2415" s="71" t="s">
        <v>2848</v>
      </c>
      <c r="H2415" s="71" t="s">
        <v>2799</v>
      </c>
      <c r="I2415" s="71" t="s">
        <v>2778</v>
      </c>
    </row>
    <row r="2416" spans="1:9" ht="29" x14ac:dyDescent="0.35">
      <c r="A2416" s="195">
        <v>16</v>
      </c>
      <c r="B2416" s="195">
        <v>170</v>
      </c>
      <c r="C2416" s="195" t="s">
        <v>2952</v>
      </c>
      <c r="D2416" s="64">
        <v>95785</v>
      </c>
      <c r="E2416" s="195" t="s">
        <v>373</v>
      </c>
      <c r="F2416" s="71" t="s">
        <v>508</v>
      </c>
      <c r="G2416" s="71" t="s">
        <v>2848</v>
      </c>
      <c r="H2416" s="71" t="s">
        <v>2799</v>
      </c>
      <c r="I2416" s="71" t="s">
        <v>2780</v>
      </c>
    </row>
    <row r="2417" spans="1:9" ht="43.5" x14ac:dyDescent="0.35">
      <c r="A2417" s="195">
        <v>16</v>
      </c>
      <c r="B2417" s="195">
        <v>171</v>
      </c>
      <c r="C2417" s="195" t="s">
        <v>2953</v>
      </c>
      <c r="D2417" s="195">
        <v>0</v>
      </c>
      <c r="E2417" s="195" t="s">
        <v>373</v>
      </c>
      <c r="F2417" s="71" t="s">
        <v>508</v>
      </c>
      <c r="G2417" s="71" t="s">
        <v>2848</v>
      </c>
      <c r="H2417" s="71" t="s">
        <v>2799</v>
      </c>
      <c r="I2417" s="71" t="s">
        <v>2782</v>
      </c>
    </row>
    <row r="2418" spans="1:9" ht="29" x14ac:dyDescent="0.35">
      <c r="A2418" s="195">
        <v>17</v>
      </c>
      <c r="B2418" s="195">
        <v>1</v>
      </c>
      <c r="C2418" s="195" t="s">
        <v>2955</v>
      </c>
      <c r="D2418" s="64">
        <v>13415</v>
      </c>
      <c r="E2418" s="195" t="s">
        <v>26</v>
      </c>
      <c r="F2418" s="71" t="s">
        <v>2441</v>
      </c>
      <c r="G2418" s="71" t="s">
        <v>2956</v>
      </c>
    </row>
    <row r="2419" spans="1:9" ht="29" x14ac:dyDescent="0.35">
      <c r="A2419" s="195">
        <v>17</v>
      </c>
      <c r="B2419" s="195">
        <v>1</v>
      </c>
      <c r="C2419" s="195" t="s">
        <v>2954</v>
      </c>
      <c r="D2419" s="64">
        <v>40065</v>
      </c>
      <c r="E2419" s="195" t="s">
        <v>26</v>
      </c>
      <c r="F2419" s="71" t="s">
        <v>2445</v>
      </c>
      <c r="G2419" s="71" t="s">
        <v>2446</v>
      </c>
    </row>
    <row r="2420" spans="1:9" x14ac:dyDescent="0.35">
      <c r="A2420" s="195">
        <v>17</v>
      </c>
      <c r="B2420" s="195">
        <v>2</v>
      </c>
      <c r="C2420" s="195" t="s">
        <v>2959</v>
      </c>
      <c r="D2420" s="64">
        <v>5025</v>
      </c>
      <c r="E2420" s="195" t="s">
        <v>366</v>
      </c>
      <c r="F2420" s="71" t="s">
        <v>2958</v>
      </c>
      <c r="G2420" s="71" t="s">
        <v>2956</v>
      </c>
    </row>
    <row r="2421" spans="1:9" x14ac:dyDescent="0.35">
      <c r="A2421" s="195">
        <v>17</v>
      </c>
      <c r="B2421" s="195">
        <v>2</v>
      </c>
      <c r="C2421" s="195" t="s">
        <v>2957</v>
      </c>
      <c r="D2421" s="64">
        <v>2775</v>
      </c>
      <c r="E2421" s="195" t="s">
        <v>366</v>
      </c>
      <c r="F2421" s="71" t="s">
        <v>2958</v>
      </c>
      <c r="G2421" s="71" t="s">
        <v>2446</v>
      </c>
    </row>
    <row r="2422" spans="1:9" ht="29" x14ac:dyDescent="0.35">
      <c r="A2422" s="195">
        <v>17</v>
      </c>
      <c r="B2422" s="195">
        <v>3</v>
      </c>
      <c r="C2422" s="195" t="s">
        <v>2962</v>
      </c>
      <c r="D2422" s="64">
        <v>2305</v>
      </c>
      <c r="E2422" s="195" t="s">
        <v>373</v>
      </c>
      <c r="F2422" s="71" t="s">
        <v>2958</v>
      </c>
      <c r="G2422" s="71" t="s">
        <v>2963</v>
      </c>
    </row>
    <row r="2423" spans="1:9" ht="29" x14ac:dyDescent="0.35">
      <c r="A2423" s="195">
        <v>17</v>
      </c>
      <c r="B2423" s="195">
        <v>3</v>
      </c>
      <c r="C2423" s="195" t="s">
        <v>2960</v>
      </c>
      <c r="D2423" s="64">
        <v>790</v>
      </c>
      <c r="E2423" s="195" t="s">
        <v>373</v>
      </c>
      <c r="F2423" s="71" t="s">
        <v>2958</v>
      </c>
      <c r="G2423" s="71" t="s">
        <v>2961</v>
      </c>
    </row>
    <row r="2424" spans="1:9" ht="43.5" x14ac:dyDescent="0.35">
      <c r="A2424" s="195">
        <v>17</v>
      </c>
      <c r="B2424" s="195">
        <v>4</v>
      </c>
      <c r="C2424" s="195" t="s">
        <v>2966</v>
      </c>
      <c r="D2424" s="64">
        <v>1000</v>
      </c>
      <c r="E2424" s="195" t="s">
        <v>373</v>
      </c>
      <c r="F2424" s="71" t="s">
        <v>2958</v>
      </c>
      <c r="G2424" s="71" t="s">
        <v>2967</v>
      </c>
    </row>
    <row r="2425" spans="1:9" ht="29" x14ac:dyDescent="0.35">
      <c r="A2425" s="195">
        <v>17</v>
      </c>
      <c r="B2425" s="195">
        <v>4</v>
      </c>
      <c r="C2425" s="195" t="s">
        <v>2964</v>
      </c>
      <c r="D2425" s="64">
        <v>1160</v>
      </c>
      <c r="E2425" s="195" t="s">
        <v>373</v>
      </c>
      <c r="F2425" s="71" t="s">
        <v>2958</v>
      </c>
      <c r="G2425" s="71" t="s">
        <v>2965</v>
      </c>
    </row>
    <row r="2426" spans="1:9" ht="43.5" x14ac:dyDescent="0.35">
      <c r="A2426" s="195">
        <v>17</v>
      </c>
      <c r="B2426" s="195">
        <v>5</v>
      </c>
      <c r="C2426" s="195" t="s">
        <v>2970</v>
      </c>
      <c r="D2426" s="64">
        <v>470</v>
      </c>
      <c r="E2426" s="195" t="s">
        <v>373</v>
      </c>
      <c r="F2426" s="71" t="s">
        <v>2958</v>
      </c>
      <c r="G2426" s="71" t="s">
        <v>2971</v>
      </c>
    </row>
    <row r="2427" spans="1:9" ht="29" x14ac:dyDescent="0.35">
      <c r="A2427" s="195">
        <v>17</v>
      </c>
      <c r="B2427" s="195">
        <v>5</v>
      </c>
      <c r="C2427" s="195" t="s">
        <v>2968</v>
      </c>
      <c r="D2427" s="64">
        <v>510</v>
      </c>
      <c r="E2427" s="195" t="s">
        <v>373</v>
      </c>
      <c r="F2427" s="71" t="s">
        <v>2958</v>
      </c>
      <c r="G2427" s="71" t="s">
        <v>2969</v>
      </c>
    </row>
    <row r="2428" spans="1:9" ht="29" x14ac:dyDescent="0.35">
      <c r="A2428" s="195">
        <v>17</v>
      </c>
      <c r="B2428" s="195">
        <v>6</v>
      </c>
      <c r="C2428" s="195" t="s">
        <v>2972</v>
      </c>
      <c r="D2428" s="195">
        <v>1245</v>
      </c>
      <c r="E2428" s="195" t="s">
        <v>373</v>
      </c>
      <c r="F2428" s="71" t="s">
        <v>2958</v>
      </c>
      <c r="G2428" s="71" t="s">
        <v>2973</v>
      </c>
    </row>
    <row r="2429" spans="1:9" x14ac:dyDescent="0.35">
      <c r="A2429" s="195">
        <v>17</v>
      </c>
      <c r="B2429" s="195">
        <v>6</v>
      </c>
      <c r="C2429" s="195" t="s">
        <v>2974</v>
      </c>
      <c r="D2429" s="64">
        <v>315</v>
      </c>
      <c r="E2429" s="195" t="s">
        <v>373</v>
      </c>
      <c r="F2429" s="71" t="s">
        <v>2958</v>
      </c>
      <c r="G2429" s="71" t="s">
        <v>2975</v>
      </c>
    </row>
    <row r="2430" spans="1:9" x14ac:dyDescent="0.35">
      <c r="A2430" s="195">
        <v>17</v>
      </c>
      <c r="B2430" s="195">
        <v>7</v>
      </c>
      <c r="C2430" s="195" t="s">
        <v>2976</v>
      </c>
      <c r="D2430" s="64">
        <v>4780</v>
      </c>
      <c r="E2430" s="195" t="s">
        <v>366</v>
      </c>
      <c r="F2430" s="71" t="s">
        <v>2977</v>
      </c>
      <c r="G2430" s="71" t="s">
        <v>2956</v>
      </c>
    </row>
    <row r="2431" spans="1:9" x14ac:dyDescent="0.35">
      <c r="A2431" s="195">
        <v>17</v>
      </c>
      <c r="B2431" s="195">
        <v>7</v>
      </c>
      <c r="C2431" s="195" t="s">
        <v>2978</v>
      </c>
      <c r="D2431" s="64">
        <v>14310</v>
      </c>
      <c r="E2431" s="195" t="s">
        <v>366</v>
      </c>
      <c r="F2431" s="71" t="s">
        <v>2977</v>
      </c>
      <c r="G2431" s="71" t="s">
        <v>2446</v>
      </c>
    </row>
    <row r="2432" spans="1:9" ht="29" x14ac:dyDescent="0.35">
      <c r="A2432" s="195">
        <v>17</v>
      </c>
      <c r="B2432" s="195">
        <v>8</v>
      </c>
      <c r="C2432" s="195" t="s">
        <v>2980</v>
      </c>
      <c r="D2432" s="64">
        <v>2515</v>
      </c>
      <c r="E2432" s="195" t="s">
        <v>373</v>
      </c>
      <c r="F2432" s="71" t="s">
        <v>2977</v>
      </c>
      <c r="G2432" s="71" t="s">
        <v>2963</v>
      </c>
    </row>
    <row r="2433" spans="1:7" ht="29" x14ac:dyDescent="0.35">
      <c r="A2433" s="195">
        <v>17</v>
      </c>
      <c r="B2433" s="195">
        <v>8</v>
      </c>
      <c r="C2433" s="195" t="s">
        <v>2979</v>
      </c>
      <c r="D2433" s="64">
        <v>2375</v>
      </c>
      <c r="E2433" s="195" t="s">
        <v>373</v>
      </c>
      <c r="F2433" s="71" t="s">
        <v>2977</v>
      </c>
      <c r="G2433" s="71" t="s">
        <v>2961</v>
      </c>
    </row>
    <row r="2434" spans="1:7" ht="43.5" x14ac:dyDescent="0.35">
      <c r="A2434" s="195">
        <v>17</v>
      </c>
      <c r="B2434" s="195">
        <v>9</v>
      </c>
      <c r="C2434" s="195" t="s">
        <v>2981</v>
      </c>
      <c r="D2434" s="64">
        <v>1040</v>
      </c>
      <c r="E2434" s="195" t="s">
        <v>373</v>
      </c>
      <c r="F2434" s="71" t="s">
        <v>2977</v>
      </c>
      <c r="G2434" s="71" t="s">
        <v>2967</v>
      </c>
    </row>
    <row r="2435" spans="1:7" ht="29" x14ac:dyDescent="0.35">
      <c r="A2435" s="195">
        <v>17</v>
      </c>
      <c r="B2435" s="195">
        <v>9</v>
      </c>
      <c r="C2435" s="195" t="s">
        <v>2982</v>
      </c>
      <c r="D2435" s="64">
        <v>7630</v>
      </c>
      <c r="E2435" s="195" t="s">
        <v>373</v>
      </c>
      <c r="F2435" s="71" t="s">
        <v>2977</v>
      </c>
      <c r="G2435" s="71" t="s">
        <v>2965</v>
      </c>
    </row>
    <row r="2436" spans="1:7" ht="43.5" x14ac:dyDescent="0.35">
      <c r="A2436" s="195">
        <v>17</v>
      </c>
      <c r="B2436" s="195">
        <v>10</v>
      </c>
      <c r="C2436" s="195" t="s">
        <v>2983</v>
      </c>
      <c r="D2436" s="64">
        <v>490</v>
      </c>
      <c r="E2436" s="195" t="s">
        <v>373</v>
      </c>
      <c r="F2436" s="71" t="s">
        <v>2977</v>
      </c>
      <c r="G2436" s="71" t="s">
        <v>2971</v>
      </c>
    </row>
    <row r="2437" spans="1:7" ht="29" x14ac:dyDescent="0.35">
      <c r="A2437" s="195">
        <v>17</v>
      </c>
      <c r="B2437" s="195">
        <v>10</v>
      </c>
      <c r="C2437" s="195" t="s">
        <v>2984</v>
      </c>
      <c r="D2437" s="195">
        <v>3490</v>
      </c>
      <c r="E2437" s="195" t="s">
        <v>373</v>
      </c>
      <c r="F2437" s="71" t="s">
        <v>2977</v>
      </c>
      <c r="G2437" s="71" t="s">
        <v>2969</v>
      </c>
    </row>
    <row r="2438" spans="1:7" ht="29" x14ac:dyDescent="0.35">
      <c r="A2438" s="195">
        <v>17</v>
      </c>
      <c r="B2438" s="195">
        <v>11</v>
      </c>
      <c r="C2438" s="195" t="s">
        <v>2985</v>
      </c>
      <c r="D2438" s="195">
        <v>740</v>
      </c>
      <c r="E2438" s="195" t="s">
        <v>373</v>
      </c>
      <c r="F2438" s="71" t="s">
        <v>2977</v>
      </c>
      <c r="G2438" s="71" t="s">
        <v>2973</v>
      </c>
    </row>
    <row r="2439" spans="1:7" x14ac:dyDescent="0.35">
      <c r="A2439" s="195">
        <v>17</v>
      </c>
      <c r="B2439" s="195">
        <v>11</v>
      </c>
      <c r="C2439" s="195" t="s">
        <v>2986</v>
      </c>
      <c r="D2439" s="195">
        <v>820</v>
      </c>
      <c r="E2439" s="195" t="s">
        <v>373</v>
      </c>
      <c r="F2439" s="71" t="s">
        <v>2977</v>
      </c>
      <c r="G2439" s="71" t="s">
        <v>2975</v>
      </c>
    </row>
    <row r="2440" spans="1:7" x14ac:dyDescent="0.35">
      <c r="A2440" s="195">
        <v>17</v>
      </c>
      <c r="B2440" s="195">
        <v>12</v>
      </c>
      <c r="C2440" s="195" t="s">
        <v>2987</v>
      </c>
      <c r="D2440" s="64">
        <v>3535</v>
      </c>
      <c r="E2440" s="195" t="s">
        <v>366</v>
      </c>
      <c r="F2440" s="71" t="s">
        <v>2988</v>
      </c>
      <c r="G2440" s="71" t="s">
        <v>2956</v>
      </c>
    </row>
    <row r="2441" spans="1:7" x14ac:dyDescent="0.35">
      <c r="A2441" s="195">
        <v>17</v>
      </c>
      <c r="B2441" s="195">
        <v>12</v>
      </c>
      <c r="C2441" s="195" t="s">
        <v>2989</v>
      </c>
      <c r="D2441" s="64">
        <v>22955</v>
      </c>
      <c r="E2441" s="195" t="s">
        <v>366</v>
      </c>
      <c r="F2441" s="71" t="s">
        <v>2988</v>
      </c>
      <c r="G2441" s="71" t="s">
        <v>2446</v>
      </c>
    </row>
    <row r="2442" spans="1:7" ht="29" x14ac:dyDescent="0.35">
      <c r="A2442" s="195">
        <v>17</v>
      </c>
      <c r="B2442" s="195">
        <v>13</v>
      </c>
      <c r="C2442" s="195" t="s">
        <v>2990</v>
      </c>
      <c r="D2442" s="64">
        <v>700</v>
      </c>
      <c r="E2442" s="195" t="s">
        <v>373</v>
      </c>
      <c r="F2442" s="71" t="s">
        <v>2988</v>
      </c>
      <c r="G2442" s="71" t="s">
        <v>2963</v>
      </c>
    </row>
    <row r="2443" spans="1:7" ht="29" x14ac:dyDescent="0.35">
      <c r="A2443" s="195">
        <v>17</v>
      </c>
      <c r="B2443" s="195">
        <v>13</v>
      </c>
      <c r="C2443" s="195" t="s">
        <v>2991</v>
      </c>
      <c r="D2443" s="64">
        <v>1940</v>
      </c>
      <c r="E2443" s="195" t="s">
        <v>373</v>
      </c>
      <c r="F2443" s="71" t="s">
        <v>2988</v>
      </c>
      <c r="G2443" s="71" t="s">
        <v>2961</v>
      </c>
    </row>
    <row r="2444" spans="1:7" ht="43.5" x14ac:dyDescent="0.35">
      <c r="A2444" s="195">
        <v>17</v>
      </c>
      <c r="B2444" s="195">
        <v>14</v>
      </c>
      <c r="C2444" s="195" t="s">
        <v>2993</v>
      </c>
      <c r="D2444" s="64">
        <v>750</v>
      </c>
      <c r="E2444" s="195" t="s">
        <v>373</v>
      </c>
      <c r="F2444" s="71" t="s">
        <v>2988</v>
      </c>
      <c r="G2444" s="71" t="s">
        <v>2967</v>
      </c>
    </row>
    <row r="2445" spans="1:7" ht="29" x14ac:dyDescent="0.35">
      <c r="A2445" s="195">
        <v>17</v>
      </c>
      <c r="B2445" s="195">
        <v>14</v>
      </c>
      <c r="C2445" s="195" t="s">
        <v>2992</v>
      </c>
      <c r="D2445" s="64">
        <v>9105</v>
      </c>
      <c r="E2445" s="195" t="s">
        <v>373</v>
      </c>
      <c r="F2445" s="71" t="s">
        <v>2988</v>
      </c>
      <c r="G2445" s="71" t="s">
        <v>2965</v>
      </c>
    </row>
    <row r="2446" spans="1:7" ht="43.5" x14ac:dyDescent="0.35">
      <c r="A2446" s="195">
        <v>17</v>
      </c>
      <c r="B2446" s="195">
        <v>15</v>
      </c>
      <c r="C2446" s="195" t="s">
        <v>2995</v>
      </c>
      <c r="D2446" s="64">
        <v>415</v>
      </c>
      <c r="E2446" s="195" t="s">
        <v>373</v>
      </c>
      <c r="F2446" s="71" t="s">
        <v>2988</v>
      </c>
      <c r="G2446" s="71" t="s">
        <v>2971</v>
      </c>
    </row>
    <row r="2447" spans="1:7" ht="29" x14ac:dyDescent="0.35">
      <c r="A2447" s="195">
        <v>17</v>
      </c>
      <c r="B2447" s="195">
        <v>15</v>
      </c>
      <c r="C2447" s="195" t="s">
        <v>2994</v>
      </c>
      <c r="D2447" s="195">
        <v>6930</v>
      </c>
      <c r="E2447" s="195" t="s">
        <v>373</v>
      </c>
      <c r="F2447" s="71" t="s">
        <v>2988</v>
      </c>
      <c r="G2447" s="71" t="s">
        <v>2969</v>
      </c>
    </row>
    <row r="2448" spans="1:7" ht="29" x14ac:dyDescent="0.35">
      <c r="A2448" s="195">
        <v>17</v>
      </c>
      <c r="B2448" s="195">
        <v>16</v>
      </c>
      <c r="C2448" s="195" t="s">
        <v>2996</v>
      </c>
      <c r="D2448" s="64">
        <v>1670</v>
      </c>
      <c r="E2448" s="195" t="s">
        <v>373</v>
      </c>
      <c r="F2448" s="71" t="s">
        <v>2988</v>
      </c>
      <c r="G2448" s="71" t="s">
        <v>2973</v>
      </c>
    </row>
    <row r="2449" spans="1:9" x14ac:dyDescent="0.35">
      <c r="A2449" s="195">
        <v>17</v>
      </c>
      <c r="B2449" s="195">
        <v>16</v>
      </c>
      <c r="C2449" s="195" t="s">
        <v>2997</v>
      </c>
      <c r="D2449" s="64">
        <v>4975</v>
      </c>
      <c r="E2449" s="195" t="s">
        <v>373</v>
      </c>
      <c r="F2449" s="71" t="s">
        <v>2988</v>
      </c>
      <c r="G2449" s="71" t="s">
        <v>2975</v>
      </c>
    </row>
    <row r="2450" spans="1:9" ht="29" x14ac:dyDescent="0.35">
      <c r="A2450" s="195">
        <v>17</v>
      </c>
      <c r="B2450" s="195">
        <v>17</v>
      </c>
      <c r="C2450" s="195" t="s">
        <v>3000</v>
      </c>
      <c r="D2450" s="195">
        <v>80</v>
      </c>
      <c r="E2450" s="195" t="s">
        <v>366</v>
      </c>
      <c r="F2450" s="71" t="s">
        <v>2999</v>
      </c>
      <c r="G2450" s="71" t="s">
        <v>2956</v>
      </c>
    </row>
    <row r="2451" spans="1:9" ht="29" x14ac:dyDescent="0.35">
      <c r="A2451" s="195">
        <v>17</v>
      </c>
      <c r="B2451" s="195">
        <v>17</v>
      </c>
      <c r="C2451" s="195" t="s">
        <v>2998</v>
      </c>
      <c r="D2451" s="195">
        <v>25</v>
      </c>
      <c r="E2451" s="195" t="s">
        <v>366</v>
      </c>
      <c r="F2451" s="71" t="s">
        <v>2999</v>
      </c>
      <c r="G2451" s="71" t="s">
        <v>2446</v>
      </c>
    </row>
    <row r="2452" spans="1:9" ht="29" x14ac:dyDescent="0.35">
      <c r="A2452" s="195">
        <v>17</v>
      </c>
      <c r="B2452" s="195">
        <v>18</v>
      </c>
      <c r="C2452" s="195" t="s">
        <v>3002</v>
      </c>
      <c r="D2452" s="195">
        <v>30</v>
      </c>
      <c r="E2452" s="195" t="s">
        <v>373</v>
      </c>
      <c r="F2452" s="71" t="s">
        <v>2999</v>
      </c>
      <c r="G2452" s="71" t="s">
        <v>2963</v>
      </c>
    </row>
    <row r="2453" spans="1:9" ht="29" x14ac:dyDescent="0.35">
      <c r="A2453" s="195">
        <v>17</v>
      </c>
      <c r="B2453" s="195">
        <v>18</v>
      </c>
      <c r="C2453" s="195" t="s">
        <v>3001</v>
      </c>
      <c r="D2453" s="195">
        <v>10</v>
      </c>
      <c r="E2453" s="195" t="s">
        <v>373</v>
      </c>
      <c r="F2453" s="71" t="s">
        <v>2999</v>
      </c>
      <c r="G2453" s="71" t="s">
        <v>2961</v>
      </c>
    </row>
    <row r="2454" spans="1:9" ht="43.5" x14ac:dyDescent="0.35">
      <c r="A2454" s="195">
        <v>17</v>
      </c>
      <c r="B2454" s="195">
        <v>19</v>
      </c>
      <c r="C2454" s="195" t="s">
        <v>3003</v>
      </c>
      <c r="D2454" s="195">
        <v>0</v>
      </c>
      <c r="E2454" s="195" t="s">
        <v>373</v>
      </c>
      <c r="F2454" s="71" t="s">
        <v>2999</v>
      </c>
      <c r="G2454" s="71" t="s">
        <v>2967</v>
      </c>
    </row>
    <row r="2455" spans="1:9" ht="29" x14ac:dyDescent="0.35">
      <c r="A2455" s="195">
        <v>17</v>
      </c>
      <c r="B2455" s="195">
        <v>19</v>
      </c>
      <c r="C2455" s="195" t="s">
        <v>3004</v>
      </c>
      <c r="D2455" s="195">
        <v>0</v>
      </c>
      <c r="E2455" s="195" t="s">
        <v>373</v>
      </c>
      <c r="F2455" s="71" t="s">
        <v>2999</v>
      </c>
      <c r="G2455" s="71" t="s">
        <v>2965</v>
      </c>
    </row>
    <row r="2456" spans="1:9" ht="43.5" x14ac:dyDescent="0.35">
      <c r="A2456" s="195">
        <v>17</v>
      </c>
      <c r="B2456" s="195">
        <v>20</v>
      </c>
      <c r="C2456" s="195" t="s">
        <v>3005</v>
      </c>
      <c r="D2456" s="195">
        <v>0</v>
      </c>
      <c r="E2456" s="195" t="s">
        <v>373</v>
      </c>
      <c r="F2456" s="71" t="s">
        <v>2999</v>
      </c>
      <c r="G2456" s="71" t="s">
        <v>2971</v>
      </c>
    </row>
    <row r="2457" spans="1:9" ht="29" x14ac:dyDescent="0.35">
      <c r="A2457" s="195">
        <v>17</v>
      </c>
      <c r="B2457" s="195">
        <v>20</v>
      </c>
      <c r="C2457" s="195" t="s">
        <v>3006</v>
      </c>
      <c r="D2457" s="195">
        <v>0</v>
      </c>
      <c r="E2457" s="195" t="s">
        <v>373</v>
      </c>
      <c r="F2457" s="71" t="s">
        <v>2999</v>
      </c>
      <c r="G2457" s="71" t="s">
        <v>2969</v>
      </c>
    </row>
    <row r="2458" spans="1:9" ht="29" x14ac:dyDescent="0.35">
      <c r="A2458" s="195">
        <v>17</v>
      </c>
      <c r="B2458" s="195">
        <v>21</v>
      </c>
      <c r="C2458" s="195" t="s">
        <v>3008</v>
      </c>
      <c r="D2458" s="195">
        <v>50</v>
      </c>
      <c r="E2458" s="195" t="s">
        <v>373</v>
      </c>
      <c r="F2458" s="71" t="s">
        <v>2999</v>
      </c>
      <c r="G2458" s="71" t="s">
        <v>2973</v>
      </c>
    </row>
    <row r="2459" spans="1:9" ht="29" x14ac:dyDescent="0.35">
      <c r="A2459" s="195">
        <v>17</v>
      </c>
      <c r="B2459" s="195">
        <v>21</v>
      </c>
      <c r="C2459" s="195" t="s">
        <v>3007</v>
      </c>
      <c r="D2459" s="195">
        <v>15</v>
      </c>
      <c r="E2459" s="195" t="s">
        <v>373</v>
      </c>
      <c r="F2459" s="71" t="s">
        <v>2999</v>
      </c>
      <c r="G2459" s="71" t="s">
        <v>2975</v>
      </c>
    </row>
    <row r="2460" spans="1:9" ht="29" x14ac:dyDescent="0.35">
      <c r="A2460" s="195">
        <v>18</v>
      </c>
      <c r="B2460" s="195">
        <v>1</v>
      </c>
      <c r="C2460" s="195" t="s">
        <v>3012</v>
      </c>
      <c r="D2460" s="64">
        <v>319140</v>
      </c>
      <c r="E2460" s="195" t="s">
        <v>26</v>
      </c>
      <c r="F2460" s="71" t="s">
        <v>3013</v>
      </c>
      <c r="G2460" s="71" t="s">
        <v>3011</v>
      </c>
      <c r="H2460" s="71" t="s">
        <v>2502</v>
      </c>
      <c r="I2460" s="71" t="s">
        <v>4181</v>
      </c>
    </row>
    <row r="2461" spans="1:9" ht="29" x14ac:dyDescent="0.35">
      <c r="A2461" s="195">
        <v>18</v>
      </c>
      <c r="B2461" s="195">
        <v>1</v>
      </c>
      <c r="C2461" s="195" t="s">
        <v>3009</v>
      </c>
      <c r="D2461" s="64">
        <v>140745</v>
      </c>
      <c r="E2461" s="195" t="s">
        <v>26</v>
      </c>
      <c r="F2461" s="71" t="s">
        <v>3010</v>
      </c>
      <c r="G2461" s="71" t="s">
        <v>3011</v>
      </c>
      <c r="H2461" s="71" t="s">
        <v>2502</v>
      </c>
      <c r="I2461" s="71" t="s">
        <v>4181</v>
      </c>
    </row>
    <row r="2462" spans="1:9" x14ac:dyDescent="0.35">
      <c r="A2462" s="195">
        <v>18</v>
      </c>
      <c r="B2462" s="195">
        <v>1</v>
      </c>
      <c r="C2462" s="195" t="s">
        <v>3014</v>
      </c>
      <c r="D2462" s="64">
        <v>582690</v>
      </c>
      <c r="E2462" s="195" t="s">
        <v>26</v>
      </c>
      <c r="F2462" s="71" t="s">
        <v>3015</v>
      </c>
      <c r="G2462" s="71" t="s">
        <v>3011</v>
      </c>
      <c r="H2462" s="71" t="s">
        <v>2446</v>
      </c>
      <c r="I2462" s="71" t="s">
        <v>4181</v>
      </c>
    </row>
    <row r="2463" spans="1:9" ht="29" x14ac:dyDescent="0.35">
      <c r="A2463" s="195">
        <v>18</v>
      </c>
      <c r="B2463" s="195">
        <v>2</v>
      </c>
      <c r="C2463" s="195" t="s">
        <v>3019</v>
      </c>
      <c r="D2463" s="64">
        <v>181530</v>
      </c>
      <c r="E2463" s="195" t="s">
        <v>366</v>
      </c>
      <c r="F2463" s="71" t="s">
        <v>3020</v>
      </c>
      <c r="G2463" s="71" t="s">
        <v>3017</v>
      </c>
      <c r="H2463" s="71" t="s">
        <v>2502</v>
      </c>
      <c r="I2463" s="71" t="s">
        <v>363</v>
      </c>
    </row>
    <row r="2464" spans="1:9" ht="29" x14ac:dyDescent="0.35">
      <c r="A2464" s="195">
        <v>18</v>
      </c>
      <c r="B2464" s="195">
        <v>2</v>
      </c>
      <c r="C2464" s="195" t="s">
        <v>3016</v>
      </c>
      <c r="D2464" s="64">
        <v>82610</v>
      </c>
      <c r="E2464" s="195" t="s">
        <v>366</v>
      </c>
      <c r="F2464" s="71" t="s">
        <v>2510</v>
      </c>
      <c r="G2464" s="71" t="s">
        <v>3017</v>
      </c>
      <c r="H2464" s="71" t="s">
        <v>2502</v>
      </c>
      <c r="I2464" s="71" t="s">
        <v>363</v>
      </c>
    </row>
    <row r="2465" spans="1:9" ht="29" x14ac:dyDescent="0.35">
      <c r="A2465" s="195">
        <v>18</v>
      </c>
      <c r="B2465" s="195">
        <v>2</v>
      </c>
      <c r="C2465" s="195" t="s">
        <v>3018</v>
      </c>
      <c r="D2465" s="64">
        <v>56745</v>
      </c>
      <c r="E2465" s="195" t="s">
        <v>366</v>
      </c>
      <c r="F2465" s="71" t="s">
        <v>508</v>
      </c>
      <c r="G2465" s="71" t="s">
        <v>3017</v>
      </c>
      <c r="H2465" s="71" t="s">
        <v>2446</v>
      </c>
      <c r="I2465" s="71" t="s">
        <v>363</v>
      </c>
    </row>
    <row r="2466" spans="1:9" ht="29" x14ac:dyDescent="0.35">
      <c r="A2466" s="195">
        <v>18</v>
      </c>
      <c r="B2466" s="195">
        <v>3</v>
      </c>
      <c r="C2466" s="195" t="s">
        <v>3021</v>
      </c>
      <c r="D2466" s="64">
        <v>55225</v>
      </c>
      <c r="E2466" s="195" t="s">
        <v>366</v>
      </c>
      <c r="F2466" s="71" t="s">
        <v>3020</v>
      </c>
      <c r="G2466" s="71" t="s">
        <v>3017</v>
      </c>
      <c r="H2466" s="71" t="s">
        <v>3022</v>
      </c>
      <c r="I2466" s="71" t="s">
        <v>363</v>
      </c>
    </row>
    <row r="2467" spans="1:9" ht="29" x14ac:dyDescent="0.35">
      <c r="A2467" s="195">
        <v>18</v>
      </c>
      <c r="B2467" s="195">
        <v>3</v>
      </c>
      <c r="C2467" s="195" t="s">
        <v>3023</v>
      </c>
      <c r="D2467" s="64">
        <v>29530</v>
      </c>
      <c r="E2467" s="195" t="s">
        <v>366</v>
      </c>
      <c r="F2467" s="71" t="s">
        <v>2510</v>
      </c>
      <c r="G2467" s="71" t="s">
        <v>3017</v>
      </c>
      <c r="H2467" s="71" t="s">
        <v>3022</v>
      </c>
      <c r="I2467" s="71" t="s">
        <v>363</v>
      </c>
    </row>
    <row r="2468" spans="1:9" ht="29" x14ac:dyDescent="0.35">
      <c r="A2468" s="195">
        <v>18</v>
      </c>
      <c r="B2468" s="195">
        <v>3</v>
      </c>
      <c r="C2468" s="195" t="s">
        <v>3024</v>
      </c>
      <c r="D2468" s="64">
        <v>11680</v>
      </c>
      <c r="E2468" s="195" t="s">
        <v>366</v>
      </c>
      <c r="F2468" s="71" t="s">
        <v>508</v>
      </c>
      <c r="G2468" s="71" t="s">
        <v>3017</v>
      </c>
      <c r="H2468" s="71" t="s">
        <v>2456</v>
      </c>
      <c r="I2468" s="71" t="s">
        <v>363</v>
      </c>
    </row>
    <row r="2469" spans="1:9" ht="29" x14ac:dyDescent="0.35">
      <c r="A2469" s="195">
        <v>18</v>
      </c>
      <c r="B2469" s="195">
        <v>4</v>
      </c>
      <c r="C2469" s="195" t="s">
        <v>3025</v>
      </c>
      <c r="D2469" s="64">
        <v>7250</v>
      </c>
      <c r="E2469" s="195" t="s">
        <v>373</v>
      </c>
      <c r="F2469" s="71" t="s">
        <v>3020</v>
      </c>
      <c r="G2469" s="71" t="s">
        <v>3017</v>
      </c>
      <c r="H2469" s="71" t="s">
        <v>3022</v>
      </c>
      <c r="I2469" s="71" t="s">
        <v>371</v>
      </c>
    </row>
    <row r="2470" spans="1:9" ht="29" x14ac:dyDescent="0.35">
      <c r="A2470" s="195">
        <v>18</v>
      </c>
      <c r="B2470" s="195">
        <v>4</v>
      </c>
      <c r="C2470" s="195" t="s">
        <v>3026</v>
      </c>
      <c r="D2470" s="64">
        <v>6835</v>
      </c>
      <c r="E2470" s="195" t="s">
        <v>373</v>
      </c>
      <c r="F2470" s="71" t="s">
        <v>2510</v>
      </c>
      <c r="G2470" s="71" t="s">
        <v>3017</v>
      </c>
      <c r="H2470" s="71" t="s">
        <v>3022</v>
      </c>
      <c r="I2470" s="71" t="s">
        <v>371</v>
      </c>
    </row>
    <row r="2471" spans="1:9" ht="29" x14ac:dyDescent="0.35">
      <c r="A2471" s="195">
        <v>18</v>
      </c>
      <c r="B2471" s="195">
        <v>4</v>
      </c>
      <c r="C2471" s="195" t="s">
        <v>3027</v>
      </c>
      <c r="D2471" s="64">
        <v>6475</v>
      </c>
      <c r="E2471" s="195" t="s">
        <v>373</v>
      </c>
      <c r="F2471" s="71" t="s">
        <v>508</v>
      </c>
      <c r="G2471" s="71" t="s">
        <v>3017</v>
      </c>
      <c r="H2471" s="71" t="s">
        <v>2456</v>
      </c>
      <c r="I2471" s="71" t="s">
        <v>371</v>
      </c>
    </row>
    <row r="2472" spans="1:9" ht="43.5" x14ac:dyDescent="0.35">
      <c r="A2472" s="195">
        <v>18</v>
      </c>
      <c r="B2472" s="195">
        <v>5</v>
      </c>
      <c r="C2472" s="195" t="s">
        <v>3029</v>
      </c>
      <c r="D2472" s="64">
        <v>8810</v>
      </c>
      <c r="E2472" s="195" t="s">
        <v>373</v>
      </c>
      <c r="F2472" s="71" t="s">
        <v>3020</v>
      </c>
      <c r="G2472" s="71" t="s">
        <v>3017</v>
      </c>
      <c r="H2472" s="71" t="s">
        <v>3022</v>
      </c>
      <c r="I2472" s="71" t="s">
        <v>2805</v>
      </c>
    </row>
    <row r="2473" spans="1:9" ht="43.5" x14ac:dyDescent="0.35">
      <c r="A2473" s="195">
        <v>18</v>
      </c>
      <c r="B2473" s="195">
        <v>5</v>
      </c>
      <c r="C2473" s="195" t="s">
        <v>3030</v>
      </c>
      <c r="D2473" s="64">
        <v>6440</v>
      </c>
      <c r="E2473" s="195" t="s">
        <v>373</v>
      </c>
      <c r="F2473" s="71" t="s">
        <v>2510</v>
      </c>
      <c r="G2473" s="71" t="s">
        <v>3017</v>
      </c>
      <c r="H2473" s="71" t="s">
        <v>3022</v>
      </c>
      <c r="I2473" s="71" t="s">
        <v>2805</v>
      </c>
    </row>
    <row r="2474" spans="1:9" ht="43.5" x14ac:dyDescent="0.35">
      <c r="A2474" s="195">
        <v>18</v>
      </c>
      <c r="B2474" s="195">
        <v>5</v>
      </c>
      <c r="C2474" s="195" t="s">
        <v>3028</v>
      </c>
      <c r="D2474" s="64">
        <v>1905</v>
      </c>
      <c r="E2474" s="195" t="s">
        <v>373</v>
      </c>
      <c r="F2474" s="71" t="s">
        <v>508</v>
      </c>
      <c r="G2474" s="71" t="s">
        <v>3017</v>
      </c>
      <c r="H2474" s="71" t="s">
        <v>2456</v>
      </c>
      <c r="I2474" s="71" t="s">
        <v>2805</v>
      </c>
    </row>
    <row r="2475" spans="1:9" ht="43.5" x14ac:dyDescent="0.35">
      <c r="A2475" s="195">
        <v>18</v>
      </c>
      <c r="B2475" s="195">
        <v>6</v>
      </c>
      <c r="C2475" s="195" t="s">
        <v>3033</v>
      </c>
      <c r="D2475" s="64">
        <v>12685</v>
      </c>
      <c r="E2475" s="195" t="s">
        <v>373</v>
      </c>
      <c r="F2475" s="71" t="s">
        <v>3020</v>
      </c>
      <c r="G2475" s="71" t="s">
        <v>3017</v>
      </c>
      <c r="H2475" s="71" t="s">
        <v>3022</v>
      </c>
      <c r="I2475" s="71" t="s">
        <v>2827</v>
      </c>
    </row>
    <row r="2476" spans="1:9" ht="43.5" x14ac:dyDescent="0.35">
      <c r="A2476" s="195">
        <v>18</v>
      </c>
      <c r="B2476" s="195">
        <v>6</v>
      </c>
      <c r="C2476" s="195" t="s">
        <v>3032</v>
      </c>
      <c r="D2476" s="64">
        <v>6635</v>
      </c>
      <c r="E2476" s="195" t="s">
        <v>373</v>
      </c>
      <c r="F2476" s="71" t="s">
        <v>2510</v>
      </c>
      <c r="G2476" s="71" t="s">
        <v>3017</v>
      </c>
      <c r="H2476" s="71" t="s">
        <v>3022</v>
      </c>
      <c r="I2476" s="71" t="s">
        <v>2827</v>
      </c>
    </row>
    <row r="2477" spans="1:9" ht="43.5" x14ac:dyDescent="0.35">
      <c r="A2477" s="195">
        <v>18</v>
      </c>
      <c r="B2477" s="195">
        <v>6</v>
      </c>
      <c r="C2477" s="195" t="s">
        <v>3031</v>
      </c>
      <c r="D2477" s="64">
        <v>1225</v>
      </c>
      <c r="E2477" s="195" t="s">
        <v>373</v>
      </c>
      <c r="F2477" s="71" t="s">
        <v>508</v>
      </c>
      <c r="G2477" s="71" t="s">
        <v>3017</v>
      </c>
      <c r="H2477" s="71" t="s">
        <v>2456</v>
      </c>
      <c r="I2477" s="71" t="s">
        <v>2827</v>
      </c>
    </row>
    <row r="2478" spans="1:9" ht="43.5" x14ac:dyDescent="0.35">
      <c r="A2478" s="195">
        <v>18</v>
      </c>
      <c r="B2478" s="195">
        <v>7</v>
      </c>
      <c r="C2478" s="195" t="s">
        <v>3034</v>
      </c>
      <c r="D2478" s="64">
        <v>7655</v>
      </c>
      <c r="E2478" s="195" t="s">
        <v>373</v>
      </c>
      <c r="F2478" s="71" t="s">
        <v>3020</v>
      </c>
      <c r="G2478" s="71" t="s">
        <v>3017</v>
      </c>
      <c r="H2478" s="71" t="s">
        <v>3022</v>
      </c>
      <c r="I2478" s="71" t="s">
        <v>3035</v>
      </c>
    </row>
    <row r="2479" spans="1:9" ht="43.5" x14ac:dyDescent="0.35">
      <c r="A2479" s="195">
        <v>18</v>
      </c>
      <c r="B2479" s="195">
        <v>7</v>
      </c>
      <c r="C2479" s="195" t="s">
        <v>3037</v>
      </c>
      <c r="D2479" s="64">
        <v>2915</v>
      </c>
      <c r="E2479" s="195" t="s">
        <v>373</v>
      </c>
      <c r="F2479" s="71" t="s">
        <v>2510</v>
      </c>
      <c r="G2479" s="71" t="s">
        <v>3017</v>
      </c>
      <c r="H2479" s="71" t="s">
        <v>3022</v>
      </c>
      <c r="I2479" s="71" t="s">
        <v>3035</v>
      </c>
    </row>
    <row r="2480" spans="1:9" ht="43.5" x14ac:dyDescent="0.35">
      <c r="A2480" s="195">
        <v>18</v>
      </c>
      <c r="B2480" s="195">
        <v>7</v>
      </c>
      <c r="C2480" s="195" t="s">
        <v>3036</v>
      </c>
      <c r="D2480" s="64">
        <v>655</v>
      </c>
      <c r="E2480" s="195" t="s">
        <v>373</v>
      </c>
      <c r="F2480" s="71" t="s">
        <v>508</v>
      </c>
      <c r="G2480" s="71" t="s">
        <v>3017</v>
      </c>
      <c r="H2480" s="71" t="s">
        <v>2456</v>
      </c>
      <c r="I2480" s="71" t="s">
        <v>3035</v>
      </c>
    </row>
    <row r="2481" spans="1:9" ht="29" x14ac:dyDescent="0.35">
      <c r="A2481" s="195">
        <v>18</v>
      </c>
      <c r="B2481" s="195">
        <v>8</v>
      </c>
      <c r="C2481" s="195" t="s">
        <v>3040</v>
      </c>
      <c r="D2481" s="64">
        <v>18820</v>
      </c>
      <c r="E2481" s="195" t="s">
        <v>373</v>
      </c>
      <c r="F2481" s="71" t="s">
        <v>3020</v>
      </c>
      <c r="G2481" s="71" t="s">
        <v>3017</v>
      </c>
      <c r="H2481" s="71" t="s">
        <v>3022</v>
      </c>
      <c r="I2481" s="71" t="s">
        <v>415</v>
      </c>
    </row>
    <row r="2482" spans="1:9" ht="29" x14ac:dyDescent="0.35">
      <c r="A2482" s="195">
        <v>18</v>
      </c>
      <c r="B2482" s="195">
        <v>8</v>
      </c>
      <c r="C2482" s="195" t="s">
        <v>3038</v>
      </c>
      <c r="D2482" s="64">
        <v>6710</v>
      </c>
      <c r="E2482" s="195" t="s">
        <v>373</v>
      </c>
      <c r="F2482" s="71" t="s">
        <v>2510</v>
      </c>
      <c r="G2482" s="71" t="s">
        <v>3017</v>
      </c>
      <c r="H2482" s="71" t="s">
        <v>3022</v>
      </c>
      <c r="I2482" s="71" t="s">
        <v>415</v>
      </c>
    </row>
    <row r="2483" spans="1:9" ht="29" x14ac:dyDescent="0.35">
      <c r="A2483" s="195">
        <v>18</v>
      </c>
      <c r="B2483" s="195">
        <v>8</v>
      </c>
      <c r="C2483" s="195" t="s">
        <v>3039</v>
      </c>
      <c r="D2483" s="64">
        <v>1420</v>
      </c>
      <c r="E2483" s="195" t="s">
        <v>373</v>
      </c>
      <c r="F2483" s="71" t="s">
        <v>508</v>
      </c>
      <c r="G2483" s="71" t="s">
        <v>3017</v>
      </c>
      <c r="H2483" s="71" t="s">
        <v>2456</v>
      </c>
      <c r="I2483" s="71" t="s">
        <v>415</v>
      </c>
    </row>
    <row r="2484" spans="1:9" ht="43.5" x14ac:dyDescent="0.35">
      <c r="A2484" s="195">
        <v>18</v>
      </c>
      <c r="B2484" s="195">
        <v>9</v>
      </c>
      <c r="C2484" s="195" t="s">
        <v>3043</v>
      </c>
      <c r="D2484" s="64">
        <v>52325</v>
      </c>
      <c r="E2484" s="195" t="s">
        <v>366</v>
      </c>
      <c r="F2484" s="71" t="s">
        <v>3020</v>
      </c>
      <c r="G2484" s="71" t="s">
        <v>3017</v>
      </c>
      <c r="H2484" s="71" t="s">
        <v>3044</v>
      </c>
      <c r="I2484" s="71" t="s">
        <v>363</v>
      </c>
    </row>
    <row r="2485" spans="1:9" ht="43.5" x14ac:dyDescent="0.35">
      <c r="A2485" s="195">
        <v>18</v>
      </c>
      <c r="B2485" s="195">
        <v>9</v>
      </c>
      <c r="C2485" s="195" t="s">
        <v>3045</v>
      </c>
      <c r="D2485" s="64">
        <v>26130</v>
      </c>
      <c r="E2485" s="195" t="s">
        <v>366</v>
      </c>
      <c r="F2485" s="71" t="s">
        <v>2510</v>
      </c>
      <c r="G2485" s="71" t="s">
        <v>3017</v>
      </c>
      <c r="H2485" s="71" t="s">
        <v>3044</v>
      </c>
      <c r="I2485" s="71" t="s">
        <v>363</v>
      </c>
    </row>
    <row r="2486" spans="1:9" ht="29" x14ac:dyDescent="0.35">
      <c r="A2486" s="195">
        <v>18</v>
      </c>
      <c r="B2486" s="195">
        <v>9</v>
      </c>
      <c r="C2486" s="195" t="s">
        <v>3041</v>
      </c>
      <c r="D2486" s="64">
        <v>15710</v>
      </c>
      <c r="E2486" s="195" t="s">
        <v>366</v>
      </c>
      <c r="F2486" s="71" t="s">
        <v>508</v>
      </c>
      <c r="G2486" s="71" t="s">
        <v>3017</v>
      </c>
      <c r="H2486" s="71" t="s">
        <v>3042</v>
      </c>
      <c r="I2486" s="71" t="s">
        <v>363</v>
      </c>
    </row>
    <row r="2487" spans="1:9" ht="43.5" x14ac:dyDescent="0.35">
      <c r="A2487" s="195">
        <v>18</v>
      </c>
      <c r="B2487" s="195">
        <v>10</v>
      </c>
      <c r="C2487" s="195" t="s">
        <v>3046</v>
      </c>
      <c r="D2487" s="64">
        <v>4045</v>
      </c>
      <c r="E2487" s="195" t="s">
        <v>373</v>
      </c>
      <c r="F2487" s="71" t="s">
        <v>3020</v>
      </c>
      <c r="G2487" s="71" t="s">
        <v>3017</v>
      </c>
      <c r="H2487" s="71" t="s">
        <v>3044</v>
      </c>
      <c r="I2487" s="71" t="s">
        <v>371</v>
      </c>
    </row>
    <row r="2488" spans="1:9" ht="43.5" x14ac:dyDescent="0.35">
      <c r="A2488" s="195">
        <v>18</v>
      </c>
      <c r="B2488" s="195">
        <v>10</v>
      </c>
      <c r="C2488" s="195" t="s">
        <v>3047</v>
      </c>
      <c r="D2488" s="64">
        <v>4750</v>
      </c>
      <c r="E2488" s="195" t="s">
        <v>373</v>
      </c>
      <c r="F2488" s="71" t="s">
        <v>2510</v>
      </c>
      <c r="G2488" s="71" t="s">
        <v>3017</v>
      </c>
      <c r="H2488" s="71" t="s">
        <v>3044</v>
      </c>
      <c r="I2488" s="71" t="s">
        <v>371</v>
      </c>
    </row>
    <row r="2489" spans="1:9" ht="29" x14ac:dyDescent="0.35">
      <c r="A2489" s="195">
        <v>18</v>
      </c>
      <c r="B2489" s="195">
        <v>10</v>
      </c>
      <c r="C2489" s="195" t="s">
        <v>3048</v>
      </c>
      <c r="D2489" s="64">
        <v>6040</v>
      </c>
      <c r="E2489" s="195" t="s">
        <v>373</v>
      </c>
      <c r="F2489" s="71" t="s">
        <v>508</v>
      </c>
      <c r="G2489" s="71" t="s">
        <v>3017</v>
      </c>
      <c r="H2489" s="71" t="s">
        <v>3042</v>
      </c>
      <c r="I2489" s="71" t="s">
        <v>371</v>
      </c>
    </row>
    <row r="2490" spans="1:9" ht="43.5" x14ac:dyDescent="0.35">
      <c r="A2490" s="195">
        <v>18</v>
      </c>
      <c r="B2490" s="195">
        <v>11</v>
      </c>
      <c r="C2490" s="195" t="s">
        <v>3049</v>
      </c>
      <c r="D2490" s="64">
        <v>5335</v>
      </c>
      <c r="E2490" s="195" t="s">
        <v>373</v>
      </c>
      <c r="F2490" s="71" t="s">
        <v>3020</v>
      </c>
      <c r="G2490" s="71" t="s">
        <v>3017</v>
      </c>
      <c r="H2490" s="71" t="s">
        <v>3044</v>
      </c>
      <c r="I2490" s="71" t="s">
        <v>2805</v>
      </c>
    </row>
    <row r="2491" spans="1:9" ht="43.5" x14ac:dyDescent="0.35">
      <c r="A2491" s="195">
        <v>18</v>
      </c>
      <c r="B2491" s="195">
        <v>11</v>
      </c>
      <c r="C2491" s="195" t="s">
        <v>3051</v>
      </c>
      <c r="D2491" s="64">
        <v>5195</v>
      </c>
      <c r="E2491" s="195" t="s">
        <v>373</v>
      </c>
      <c r="F2491" s="71" t="s">
        <v>2510</v>
      </c>
      <c r="G2491" s="71" t="s">
        <v>3017</v>
      </c>
      <c r="H2491" s="71" t="s">
        <v>3044</v>
      </c>
      <c r="I2491" s="71" t="s">
        <v>2805</v>
      </c>
    </row>
    <row r="2492" spans="1:9" ht="43.5" x14ac:dyDescent="0.35">
      <c r="A2492" s="195">
        <v>18</v>
      </c>
      <c r="B2492" s="195">
        <v>11</v>
      </c>
      <c r="C2492" s="195" t="s">
        <v>3050</v>
      </c>
      <c r="D2492" s="64">
        <v>3705</v>
      </c>
      <c r="E2492" s="195" t="s">
        <v>373</v>
      </c>
      <c r="F2492" s="71" t="s">
        <v>508</v>
      </c>
      <c r="G2492" s="71" t="s">
        <v>3017</v>
      </c>
      <c r="H2492" s="71" t="s">
        <v>3042</v>
      </c>
      <c r="I2492" s="71" t="s">
        <v>2805</v>
      </c>
    </row>
    <row r="2493" spans="1:9" ht="43.5" x14ac:dyDescent="0.35">
      <c r="A2493" s="195">
        <v>18</v>
      </c>
      <c r="B2493" s="195">
        <v>12</v>
      </c>
      <c r="C2493" s="195" t="s">
        <v>3052</v>
      </c>
      <c r="D2493" s="64">
        <v>9595</v>
      </c>
      <c r="E2493" s="195" t="s">
        <v>373</v>
      </c>
      <c r="F2493" s="71" t="s">
        <v>3020</v>
      </c>
      <c r="G2493" s="71" t="s">
        <v>3017</v>
      </c>
      <c r="H2493" s="71" t="s">
        <v>3044</v>
      </c>
      <c r="I2493" s="71" t="s">
        <v>2827</v>
      </c>
    </row>
    <row r="2494" spans="1:9" ht="43.5" x14ac:dyDescent="0.35">
      <c r="A2494" s="195">
        <v>18</v>
      </c>
      <c r="B2494" s="195">
        <v>12</v>
      </c>
      <c r="C2494" s="195" t="s">
        <v>3053</v>
      </c>
      <c r="D2494" s="64">
        <v>5560</v>
      </c>
      <c r="E2494" s="195" t="s">
        <v>373</v>
      </c>
      <c r="F2494" s="71" t="s">
        <v>2510</v>
      </c>
      <c r="G2494" s="71" t="s">
        <v>3017</v>
      </c>
      <c r="H2494" s="71" t="s">
        <v>3044</v>
      </c>
      <c r="I2494" s="71" t="s">
        <v>2827</v>
      </c>
    </row>
    <row r="2495" spans="1:9" ht="43.5" x14ac:dyDescent="0.35">
      <c r="A2495" s="195">
        <v>18</v>
      </c>
      <c r="B2495" s="195">
        <v>12</v>
      </c>
      <c r="C2495" s="195" t="s">
        <v>3054</v>
      </c>
      <c r="D2495" s="64">
        <v>3165</v>
      </c>
      <c r="E2495" s="195" t="s">
        <v>373</v>
      </c>
      <c r="F2495" s="71" t="s">
        <v>508</v>
      </c>
      <c r="G2495" s="71" t="s">
        <v>3017</v>
      </c>
      <c r="H2495" s="71" t="s">
        <v>3042</v>
      </c>
      <c r="I2495" s="71" t="s">
        <v>2827</v>
      </c>
    </row>
    <row r="2496" spans="1:9" ht="43.5" x14ac:dyDescent="0.35">
      <c r="A2496" s="195">
        <v>18</v>
      </c>
      <c r="B2496" s="195">
        <v>13</v>
      </c>
      <c r="C2496" s="195" t="s">
        <v>3057</v>
      </c>
      <c r="D2496" s="64">
        <v>6615</v>
      </c>
      <c r="E2496" s="195" t="s">
        <v>373</v>
      </c>
      <c r="F2496" s="71" t="s">
        <v>3020</v>
      </c>
      <c r="G2496" s="71" t="s">
        <v>3017</v>
      </c>
      <c r="H2496" s="71" t="s">
        <v>3044</v>
      </c>
      <c r="I2496" s="71" t="s">
        <v>3035</v>
      </c>
    </row>
    <row r="2497" spans="1:9" ht="43.5" x14ac:dyDescent="0.35">
      <c r="A2497" s="195">
        <v>18</v>
      </c>
      <c r="B2497" s="195">
        <v>13</v>
      </c>
      <c r="C2497" s="195" t="s">
        <v>3056</v>
      </c>
      <c r="D2497" s="64">
        <v>2630</v>
      </c>
      <c r="E2497" s="195" t="s">
        <v>373</v>
      </c>
      <c r="F2497" s="71" t="s">
        <v>2510</v>
      </c>
      <c r="G2497" s="71" t="s">
        <v>3017</v>
      </c>
      <c r="H2497" s="71" t="s">
        <v>3044</v>
      </c>
      <c r="I2497" s="71" t="s">
        <v>3035</v>
      </c>
    </row>
    <row r="2498" spans="1:9" ht="43.5" x14ac:dyDescent="0.35">
      <c r="A2498" s="195">
        <v>18</v>
      </c>
      <c r="B2498" s="195">
        <v>13</v>
      </c>
      <c r="C2498" s="195" t="s">
        <v>3055</v>
      </c>
      <c r="D2498" s="64">
        <v>955</v>
      </c>
      <c r="E2498" s="195" t="s">
        <v>373</v>
      </c>
      <c r="F2498" s="71" t="s">
        <v>508</v>
      </c>
      <c r="G2498" s="71" t="s">
        <v>3017</v>
      </c>
      <c r="H2498" s="71" t="s">
        <v>3042</v>
      </c>
      <c r="I2498" s="71" t="s">
        <v>3035</v>
      </c>
    </row>
    <row r="2499" spans="1:9" ht="43.5" x14ac:dyDescent="0.35">
      <c r="A2499" s="195">
        <v>18</v>
      </c>
      <c r="B2499" s="195">
        <v>14</v>
      </c>
      <c r="C2499" s="195" t="s">
        <v>3060</v>
      </c>
      <c r="D2499" s="64">
        <v>26740</v>
      </c>
      <c r="E2499" s="195" t="s">
        <v>373</v>
      </c>
      <c r="F2499" s="71" t="s">
        <v>3020</v>
      </c>
      <c r="G2499" s="71" t="s">
        <v>3017</v>
      </c>
      <c r="H2499" s="71" t="s">
        <v>3044</v>
      </c>
      <c r="I2499" s="71" t="s">
        <v>415</v>
      </c>
    </row>
    <row r="2500" spans="1:9" ht="43.5" x14ac:dyDescent="0.35">
      <c r="A2500" s="195">
        <v>18</v>
      </c>
      <c r="B2500" s="195">
        <v>14</v>
      </c>
      <c r="C2500" s="195" t="s">
        <v>3058</v>
      </c>
      <c r="D2500" s="64">
        <v>7995</v>
      </c>
      <c r="E2500" s="195" t="s">
        <v>373</v>
      </c>
      <c r="F2500" s="71" t="s">
        <v>2510</v>
      </c>
      <c r="G2500" s="71" t="s">
        <v>3017</v>
      </c>
      <c r="H2500" s="71" t="s">
        <v>3044</v>
      </c>
      <c r="I2500" s="71" t="s">
        <v>415</v>
      </c>
    </row>
    <row r="2501" spans="1:9" ht="29" x14ac:dyDescent="0.35">
      <c r="A2501" s="195">
        <v>18</v>
      </c>
      <c r="B2501" s="195">
        <v>14</v>
      </c>
      <c r="C2501" s="195" t="s">
        <v>3059</v>
      </c>
      <c r="D2501" s="64">
        <v>1850</v>
      </c>
      <c r="E2501" s="195" t="s">
        <v>373</v>
      </c>
      <c r="F2501" s="71" t="s">
        <v>508</v>
      </c>
      <c r="G2501" s="71" t="s">
        <v>3017</v>
      </c>
      <c r="H2501" s="71" t="s">
        <v>3042</v>
      </c>
      <c r="I2501" s="71" t="s">
        <v>415</v>
      </c>
    </row>
    <row r="2502" spans="1:9" ht="43.5" x14ac:dyDescent="0.35">
      <c r="A2502" s="195">
        <v>18</v>
      </c>
      <c r="B2502" s="195">
        <v>15</v>
      </c>
      <c r="C2502" s="195" t="s">
        <v>3065</v>
      </c>
      <c r="D2502" s="64">
        <v>20030</v>
      </c>
      <c r="E2502" s="195" t="s">
        <v>366</v>
      </c>
      <c r="F2502" s="71" t="s">
        <v>3020</v>
      </c>
      <c r="G2502" s="71" t="s">
        <v>3017</v>
      </c>
      <c r="H2502" s="71" t="s">
        <v>3064</v>
      </c>
      <c r="I2502" s="71" t="s">
        <v>363</v>
      </c>
    </row>
    <row r="2503" spans="1:9" ht="43.5" x14ac:dyDescent="0.35">
      <c r="A2503" s="195">
        <v>18</v>
      </c>
      <c r="B2503" s="195">
        <v>15</v>
      </c>
      <c r="C2503" s="195" t="s">
        <v>3063</v>
      </c>
      <c r="D2503" s="64">
        <v>9340</v>
      </c>
      <c r="E2503" s="195" t="s">
        <v>366</v>
      </c>
      <c r="F2503" s="71" t="s">
        <v>2510</v>
      </c>
      <c r="G2503" s="71" t="s">
        <v>3017</v>
      </c>
      <c r="H2503" s="71" t="s">
        <v>3064</v>
      </c>
      <c r="I2503" s="71" t="s">
        <v>363</v>
      </c>
    </row>
    <row r="2504" spans="1:9" ht="29" x14ac:dyDescent="0.35">
      <c r="A2504" s="195">
        <v>18</v>
      </c>
      <c r="B2504" s="195">
        <v>15</v>
      </c>
      <c r="C2504" s="195" t="s">
        <v>3061</v>
      </c>
      <c r="D2504" s="64">
        <v>22000</v>
      </c>
      <c r="E2504" s="195" t="s">
        <v>366</v>
      </c>
      <c r="F2504" s="71" t="s">
        <v>508</v>
      </c>
      <c r="G2504" s="71" t="s">
        <v>3017</v>
      </c>
      <c r="H2504" s="71" t="s">
        <v>3062</v>
      </c>
      <c r="I2504" s="71" t="s">
        <v>363</v>
      </c>
    </row>
    <row r="2505" spans="1:9" ht="43.5" x14ac:dyDescent="0.35">
      <c r="A2505" s="195">
        <v>18</v>
      </c>
      <c r="B2505" s="195">
        <v>16</v>
      </c>
      <c r="C2505" s="195" t="s">
        <v>3066</v>
      </c>
      <c r="D2505" s="64">
        <v>965</v>
      </c>
      <c r="E2505" s="195" t="s">
        <v>373</v>
      </c>
      <c r="F2505" s="71" t="s">
        <v>3020</v>
      </c>
      <c r="G2505" s="71" t="s">
        <v>3017</v>
      </c>
      <c r="H2505" s="71" t="s">
        <v>3064</v>
      </c>
      <c r="I2505" s="71" t="s">
        <v>371</v>
      </c>
    </row>
    <row r="2506" spans="1:9" ht="43.5" x14ac:dyDescent="0.35">
      <c r="A2506" s="195">
        <v>18</v>
      </c>
      <c r="B2506" s="195">
        <v>16</v>
      </c>
      <c r="C2506" s="195" t="s">
        <v>3068</v>
      </c>
      <c r="D2506" s="64">
        <v>1295</v>
      </c>
      <c r="E2506" s="195" t="s">
        <v>373</v>
      </c>
      <c r="F2506" s="71" t="s">
        <v>2510</v>
      </c>
      <c r="G2506" s="71" t="s">
        <v>3017</v>
      </c>
      <c r="H2506" s="71" t="s">
        <v>3064</v>
      </c>
      <c r="I2506" s="71" t="s">
        <v>371</v>
      </c>
    </row>
    <row r="2507" spans="1:9" ht="29" x14ac:dyDescent="0.35">
      <c r="A2507" s="195">
        <v>18</v>
      </c>
      <c r="B2507" s="195">
        <v>16</v>
      </c>
      <c r="C2507" s="195" t="s">
        <v>3067</v>
      </c>
      <c r="D2507" s="64">
        <v>7235</v>
      </c>
      <c r="E2507" s="195" t="s">
        <v>373</v>
      </c>
      <c r="F2507" s="71" t="s">
        <v>508</v>
      </c>
      <c r="G2507" s="71" t="s">
        <v>3017</v>
      </c>
      <c r="H2507" s="71" t="s">
        <v>3062</v>
      </c>
      <c r="I2507" s="71" t="s">
        <v>371</v>
      </c>
    </row>
    <row r="2508" spans="1:9" ht="43.5" x14ac:dyDescent="0.35">
      <c r="A2508" s="195">
        <v>18</v>
      </c>
      <c r="B2508" s="195">
        <v>17</v>
      </c>
      <c r="C2508" s="195" t="s">
        <v>3070</v>
      </c>
      <c r="D2508" s="64">
        <v>1525</v>
      </c>
      <c r="E2508" s="195" t="s">
        <v>373</v>
      </c>
      <c r="F2508" s="71" t="s">
        <v>3020</v>
      </c>
      <c r="G2508" s="71" t="s">
        <v>3017</v>
      </c>
      <c r="H2508" s="71" t="s">
        <v>3064</v>
      </c>
      <c r="I2508" s="71" t="s">
        <v>2805</v>
      </c>
    </row>
    <row r="2509" spans="1:9" ht="43.5" x14ac:dyDescent="0.35">
      <c r="A2509" s="195">
        <v>18</v>
      </c>
      <c r="B2509" s="195">
        <v>17</v>
      </c>
      <c r="C2509" s="195" t="s">
        <v>3071</v>
      </c>
      <c r="D2509" s="64">
        <v>1315</v>
      </c>
      <c r="E2509" s="195" t="s">
        <v>373</v>
      </c>
      <c r="F2509" s="71" t="s">
        <v>2510</v>
      </c>
      <c r="G2509" s="71" t="s">
        <v>3017</v>
      </c>
      <c r="H2509" s="71" t="s">
        <v>3064</v>
      </c>
      <c r="I2509" s="71" t="s">
        <v>2805</v>
      </c>
    </row>
    <row r="2510" spans="1:9" ht="43.5" x14ac:dyDescent="0.35">
      <c r="A2510" s="195">
        <v>18</v>
      </c>
      <c r="B2510" s="195">
        <v>17</v>
      </c>
      <c r="C2510" s="195" t="s">
        <v>3069</v>
      </c>
      <c r="D2510" s="64">
        <v>4565</v>
      </c>
      <c r="E2510" s="195" t="s">
        <v>373</v>
      </c>
      <c r="F2510" s="71" t="s">
        <v>508</v>
      </c>
      <c r="G2510" s="71" t="s">
        <v>3017</v>
      </c>
      <c r="H2510" s="71" t="s">
        <v>3062</v>
      </c>
      <c r="I2510" s="71" t="s">
        <v>2805</v>
      </c>
    </row>
    <row r="2511" spans="1:9" ht="43.5" x14ac:dyDescent="0.35">
      <c r="A2511" s="195">
        <v>18</v>
      </c>
      <c r="B2511" s="195">
        <v>18</v>
      </c>
      <c r="C2511" s="195" t="s">
        <v>3074</v>
      </c>
      <c r="D2511" s="64">
        <v>2305</v>
      </c>
      <c r="E2511" s="195" t="s">
        <v>373</v>
      </c>
      <c r="F2511" s="71" t="s">
        <v>3020</v>
      </c>
      <c r="G2511" s="71" t="s">
        <v>3017</v>
      </c>
      <c r="H2511" s="71" t="s">
        <v>3064</v>
      </c>
      <c r="I2511" s="71" t="s">
        <v>2827</v>
      </c>
    </row>
    <row r="2512" spans="1:9" ht="43.5" x14ac:dyDescent="0.35">
      <c r="A2512" s="195">
        <v>18</v>
      </c>
      <c r="B2512" s="195">
        <v>18</v>
      </c>
      <c r="C2512" s="195" t="s">
        <v>3072</v>
      </c>
      <c r="D2512" s="64">
        <v>1560</v>
      </c>
      <c r="E2512" s="195" t="s">
        <v>373</v>
      </c>
      <c r="F2512" s="71" t="s">
        <v>2510</v>
      </c>
      <c r="G2512" s="71" t="s">
        <v>3017</v>
      </c>
      <c r="H2512" s="71" t="s">
        <v>3064</v>
      </c>
      <c r="I2512" s="71" t="s">
        <v>2827</v>
      </c>
    </row>
    <row r="2513" spans="1:9" ht="43.5" x14ac:dyDescent="0.35">
      <c r="A2513" s="195">
        <v>18</v>
      </c>
      <c r="B2513" s="195">
        <v>18</v>
      </c>
      <c r="C2513" s="195" t="s">
        <v>3073</v>
      </c>
      <c r="D2513" s="64">
        <v>4590</v>
      </c>
      <c r="E2513" s="195" t="s">
        <v>373</v>
      </c>
      <c r="F2513" s="71" t="s">
        <v>508</v>
      </c>
      <c r="G2513" s="71" t="s">
        <v>3017</v>
      </c>
      <c r="H2513" s="71" t="s">
        <v>3062</v>
      </c>
      <c r="I2513" s="71" t="s">
        <v>2827</v>
      </c>
    </row>
    <row r="2514" spans="1:9" ht="43.5" x14ac:dyDescent="0.35">
      <c r="A2514" s="195">
        <v>18</v>
      </c>
      <c r="B2514" s="195">
        <v>19</v>
      </c>
      <c r="C2514" s="195" t="s">
        <v>3075</v>
      </c>
      <c r="D2514" s="64">
        <v>2000</v>
      </c>
      <c r="E2514" s="195" t="s">
        <v>373</v>
      </c>
      <c r="F2514" s="71" t="s">
        <v>3020</v>
      </c>
      <c r="G2514" s="71" t="s">
        <v>3017</v>
      </c>
      <c r="H2514" s="71" t="s">
        <v>3064</v>
      </c>
      <c r="I2514" s="71" t="s">
        <v>3035</v>
      </c>
    </row>
    <row r="2515" spans="1:9" ht="43.5" x14ac:dyDescent="0.35">
      <c r="A2515" s="195">
        <v>18</v>
      </c>
      <c r="B2515" s="195">
        <v>19</v>
      </c>
      <c r="C2515" s="195" t="s">
        <v>3077</v>
      </c>
      <c r="D2515" s="64">
        <v>930</v>
      </c>
      <c r="E2515" s="195" t="s">
        <v>373</v>
      </c>
      <c r="F2515" s="71" t="s">
        <v>2510</v>
      </c>
      <c r="G2515" s="71" t="s">
        <v>3017</v>
      </c>
      <c r="H2515" s="71" t="s">
        <v>3064</v>
      </c>
      <c r="I2515" s="71" t="s">
        <v>3035</v>
      </c>
    </row>
    <row r="2516" spans="1:9" ht="43.5" x14ac:dyDescent="0.35">
      <c r="A2516" s="195">
        <v>18</v>
      </c>
      <c r="B2516" s="195">
        <v>19</v>
      </c>
      <c r="C2516" s="195" t="s">
        <v>3076</v>
      </c>
      <c r="D2516" s="64">
        <v>1625</v>
      </c>
      <c r="E2516" s="195" t="s">
        <v>373</v>
      </c>
      <c r="F2516" s="71" t="s">
        <v>508</v>
      </c>
      <c r="G2516" s="71" t="s">
        <v>3017</v>
      </c>
      <c r="H2516" s="71" t="s">
        <v>3062</v>
      </c>
      <c r="I2516" s="71" t="s">
        <v>3035</v>
      </c>
    </row>
    <row r="2517" spans="1:9" ht="43.5" x14ac:dyDescent="0.35">
      <c r="A2517" s="195">
        <v>18</v>
      </c>
      <c r="B2517" s="195">
        <v>20</v>
      </c>
      <c r="C2517" s="195" t="s">
        <v>3079</v>
      </c>
      <c r="D2517" s="64">
        <v>13230</v>
      </c>
      <c r="E2517" s="195" t="s">
        <v>373</v>
      </c>
      <c r="F2517" s="71" t="s">
        <v>3020</v>
      </c>
      <c r="G2517" s="71" t="s">
        <v>3017</v>
      </c>
      <c r="H2517" s="71" t="s">
        <v>3064</v>
      </c>
      <c r="I2517" s="71" t="s">
        <v>415</v>
      </c>
    </row>
    <row r="2518" spans="1:9" ht="43.5" x14ac:dyDescent="0.35">
      <c r="A2518" s="195">
        <v>18</v>
      </c>
      <c r="B2518" s="195">
        <v>20</v>
      </c>
      <c r="C2518" s="195" t="s">
        <v>3080</v>
      </c>
      <c r="D2518" s="64">
        <v>4235</v>
      </c>
      <c r="E2518" s="195" t="s">
        <v>373</v>
      </c>
      <c r="F2518" s="71" t="s">
        <v>2510</v>
      </c>
      <c r="G2518" s="71" t="s">
        <v>3017</v>
      </c>
      <c r="H2518" s="71" t="s">
        <v>3064</v>
      </c>
      <c r="I2518" s="71" t="s">
        <v>415</v>
      </c>
    </row>
    <row r="2519" spans="1:9" ht="29" x14ac:dyDescent="0.35">
      <c r="A2519" s="195">
        <v>18</v>
      </c>
      <c r="B2519" s="195">
        <v>20</v>
      </c>
      <c r="C2519" s="195" t="s">
        <v>3078</v>
      </c>
      <c r="D2519" s="64">
        <v>3985</v>
      </c>
      <c r="E2519" s="195" t="s">
        <v>373</v>
      </c>
      <c r="F2519" s="71" t="s">
        <v>508</v>
      </c>
      <c r="G2519" s="71" t="s">
        <v>3017</v>
      </c>
      <c r="H2519" s="71" t="s">
        <v>3062</v>
      </c>
      <c r="I2519" s="71" t="s">
        <v>415</v>
      </c>
    </row>
    <row r="2520" spans="1:9" ht="29" x14ac:dyDescent="0.35">
      <c r="A2520" s="195">
        <v>18</v>
      </c>
      <c r="B2520" s="195">
        <v>21</v>
      </c>
      <c r="C2520" s="195" t="s">
        <v>3082</v>
      </c>
      <c r="D2520" s="64">
        <v>53950</v>
      </c>
      <c r="E2520" s="195" t="s">
        <v>366</v>
      </c>
      <c r="F2520" s="71" t="s">
        <v>3020</v>
      </c>
      <c r="G2520" s="71" t="s">
        <v>3017</v>
      </c>
      <c r="H2520" s="71" t="s">
        <v>3083</v>
      </c>
      <c r="I2520" s="71" t="s">
        <v>363</v>
      </c>
    </row>
    <row r="2521" spans="1:9" ht="29" x14ac:dyDescent="0.35">
      <c r="A2521" s="195">
        <v>18</v>
      </c>
      <c r="B2521" s="195">
        <v>21</v>
      </c>
      <c r="C2521" s="195" t="s">
        <v>3084</v>
      </c>
      <c r="D2521" s="64">
        <v>17615</v>
      </c>
      <c r="E2521" s="195" t="s">
        <v>366</v>
      </c>
      <c r="F2521" s="71" t="s">
        <v>2510</v>
      </c>
      <c r="G2521" s="71" t="s">
        <v>3017</v>
      </c>
      <c r="H2521" s="71" t="s">
        <v>3083</v>
      </c>
      <c r="I2521" s="71" t="s">
        <v>363</v>
      </c>
    </row>
    <row r="2522" spans="1:9" ht="29" x14ac:dyDescent="0.35">
      <c r="A2522" s="195">
        <v>18</v>
      </c>
      <c r="B2522" s="195">
        <v>21</v>
      </c>
      <c r="C2522" s="195" t="s">
        <v>3081</v>
      </c>
      <c r="D2522" s="64">
        <v>7355</v>
      </c>
      <c r="E2522" s="195" t="s">
        <v>366</v>
      </c>
      <c r="F2522" s="71" t="s">
        <v>508</v>
      </c>
      <c r="G2522" s="71" t="s">
        <v>3017</v>
      </c>
      <c r="H2522" s="71" t="s">
        <v>2491</v>
      </c>
      <c r="I2522" s="71" t="s">
        <v>363</v>
      </c>
    </row>
    <row r="2523" spans="1:9" ht="29" x14ac:dyDescent="0.35">
      <c r="A2523" s="195">
        <v>18</v>
      </c>
      <c r="B2523" s="195">
        <v>22</v>
      </c>
      <c r="C2523" s="195" t="s">
        <v>3087</v>
      </c>
      <c r="D2523" s="64">
        <v>1765</v>
      </c>
      <c r="E2523" s="195" t="s">
        <v>373</v>
      </c>
      <c r="F2523" s="71" t="s">
        <v>3020</v>
      </c>
      <c r="G2523" s="71" t="s">
        <v>3017</v>
      </c>
      <c r="H2523" s="71" t="s">
        <v>3083</v>
      </c>
      <c r="I2523" s="71" t="s">
        <v>371</v>
      </c>
    </row>
    <row r="2524" spans="1:9" ht="29" x14ac:dyDescent="0.35">
      <c r="A2524" s="195">
        <v>18</v>
      </c>
      <c r="B2524" s="195">
        <v>22</v>
      </c>
      <c r="C2524" s="195" t="s">
        <v>3085</v>
      </c>
      <c r="D2524" s="64">
        <v>1815</v>
      </c>
      <c r="E2524" s="195" t="s">
        <v>373</v>
      </c>
      <c r="F2524" s="71" t="s">
        <v>2510</v>
      </c>
      <c r="G2524" s="71" t="s">
        <v>3017</v>
      </c>
      <c r="H2524" s="71" t="s">
        <v>3083</v>
      </c>
      <c r="I2524" s="71" t="s">
        <v>371</v>
      </c>
    </row>
    <row r="2525" spans="1:9" ht="29" x14ac:dyDescent="0.35">
      <c r="A2525" s="195">
        <v>18</v>
      </c>
      <c r="B2525" s="195">
        <v>22</v>
      </c>
      <c r="C2525" s="195" t="s">
        <v>3086</v>
      </c>
      <c r="D2525" s="64">
        <v>1495</v>
      </c>
      <c r="E2525" s="195" t="s">
        <v>373</v>
      </c>
      <c r="F2525" s="71" t="s">
        <v>508</v>
      </c>
      <c r="G2525" s="71" t="s">
        <v>3017</v>
      </c>
      <c r="H2525" s="71" t="s">
        <v>2491</v>
      </c>
      <c r="I2525" s="71" t="s">
        <v>371</v>
      </c>
    </row>
    <row r="2526" spans="1:9" ht="43.5" x14ac:dyDescent="0.35">
      <c r="A2526" s="195">
        <v>18</v>
      </c>
      <c r="B2526" s="195">
        <v>23</v>
      </c>
      <c r="C2526" s="195" t="s">
        <v>3088</v>
      </c>
      <c r="D2526" s="64">
        <v>2015</v>
      </c>
      <c r="E2526" s="195" t="s">
        <v>373</v>
      </c>
      <c r="F2526" s="71" t="s">
        <v>3020</v>
      </c>
      <c r="G2526" s="71" t="s">
        <v>3017</v>
      </c>
      <c r="H2526" s="71" t="s">
        <v>3083</v>
      </c>
      <c r="I2526" s="71" t="s">
        <v>2805</v>
      </c>
    </row>
    <row r="2527" spans="1:9" ht="43.5" x14ac:dyDescent="0.35">
      <c r="A2527" s="195">
        <v>18</v>
      </c>
      <c r="B2527" s="195">
        <v>23</v>
      </c>
      <c r="C2527" s="195" t="s">
        <v>3090</v>
      </c>
      <c r="D2527" s="64">
        <v>1970</v>
      </c>
      <c r="E2527" s="195" t="s">
        <v>373</v>
      </c>
      <c r="F2527" s="71" t="s">
        <v>2510</v>
      </c>
      <c r="G2527" s="71" t="s">
        <v>3017</v>
      </c>
      <c r="H2527" s="71" t="s">
        <v>3083</v>
      </c>
      <c r="I2527" s="71" t="s">
        <v>2805</v>
      </c>
    </row>
    <row r="2528" spans="1:9" ht="43.5" x14ac:dyDescent="0.35">
      <c r="A2528" s="195">
        <v>18</v>
      </c>
      <c r="B2528" s="195">
        <v>23</v>
      </c>
      <c r="C2528" s="195" t="s">
        <v>3089</v>
      </c>
      <c r="D2528" s="64">
        <v>860</v>
      </c>
      <c r="E2528" s="195" t="s">
        <v>373</v>
      </c>
      <c r="F2528" s="71" t="s">
        <v>508</v>
      </c>
      <c r="G2528" s="71" t="s">
        <v>3017</v>
      </c>
      <c r="H2528" s="71" t="s">
        <v>2491</v>
      </c>
      <c r="I2528" s="71" t="s">
        <v>2805</v>
      </c>
    </row>
    <row r="2529" spans="1:9" ht="43.5" x14ac:dyDescent="0.35">
      <c r="A2529" s="195">
        <v>18</v>
      </c>
      <c r="B2529" s="195">
        <v>24</v>
      </c>
      <c r="C2529" s="195" t="s">
        <v>3091</v>
      </c>
      <c r="D2529" s="64">
        <v>3570</v>
      </c>
      <c r="E2529" s="195" t="s">
        <v>373</v>
      </c>
      <c r="F2529" s="71" t="s">
        <v>3020</v>
      </c>
      <c r="G2529" s="71" t="s">
        <v>3017</v>
      </c>
      <c r="H2529" s="71" t="s">
        <v>3083</v>
      </c>
      <c r="I2529" s="71" t="s">
        <v>2827</v>
      </c>
    </row>
    <row r="2530" spans="1:9" ht="43.5" x14ac:dyDescent="0.35">
      <c r="A2530" s="195">
        <v>18</v>
      </c>
      <c r="B2530" s="195">
        <v>24</v>
      </c>
      <c r="C2530" s="195" t="s">
        <v>3092</v>
      </c>
      <c r="D2530" s="64">
        <v>2230</v>
      </c>
      <c r="E2530" s="195" t="s">
        <v>373</v>
      </c>
      <c r="F2530" s="71" t="s">
        <v>2510</v>
      </c>
      <c r="G2530" s="71" t="s">
        <v>3017</v>
      </c>
      <c r="H2530" s="71" t="s">
        <v>3083</v>
      </c>
      <c r="I2530" s="71" t="s">
        <v>2827</v>
      </c>
    </row>
    <row r="2531" spans="1:9" ht="43.5" x14ac:dyDescent="0.35">
      <c r="A2531" s="195">
        <v>18</v>
      </c>
      <c r="B2531" s="195">
        <v>24</v>
      </c>
      <c r="C2531" s="195" t="s">
        <v>3093</v>
      </c>
      <c r="D2531" s="64">
        <v>840</v>
      </c>
      <c r="E2531" s="195" t="s">
        <v>373</v>
      </c>
      <c r="F2531" s="71" t="s">
        <v>508</v>
      </c>
      <c r="G2531" s="71" t="s">
        <v>3017</v>
      </c>
      <c r="H2531" s="71" t="s">
        <v>2491</v>
      </c>
      <c r="I2531" s="71" t="s">
        <v>2827</v>
      </c>
    </row>
    <row r="2532" spans="1:9" ht="43.5" x14ac:dyDescent="0.35">
      <c r="A2532" s="195">
        <v>18</v>
      </c>
      <c r="B2532" s="195">
        <v>25</v>
      </c>
      <c r="C2532" s="195" t="s">
        <v>3095</v>
      </c>
      <c r="D2532" s="64">
        <v>2605</v>
      </c>
      <c r="E2532" s="195" t="s">
        <v>373</v>
      </c>
      <c r="F2532" s="71" t="s">
        <v>3020</v>
      </c>
      <c r="G2532" s="71" t="s">
        <v>3017</v>
      </c>
      <c r="H2532" s="71" t="s">
        <v>3083</v>
      </c>
      <c r="I2532" s="71" t="s">
        <v>3035</v>
      </c>
    </row>
    <row r="2533" spans="1:9" ht="43.5" x14ac:dyDescent="0.35">
      <c r="A2533" s="195">
        <v>18</v>
      </c>
      <c r="B2533" s="195">
        <v>25</v>
      </c>
      <c r="C2533" s="195" t="s">
        <v>3096</v>
      </c>
      <c r="D2533" s="64">
        <v>1120</v>
      </c>
      <c r="E2533" s="195" t="s">
        <v>373</v>
      </c>
      <c r="F2533" s="71" t="s">
        <v>2510</v>
      </c>
      <c r="G2533" s="71" t="s">
        <v>3017</v>
      </c>
      <c r="H2533" s="71" t="s">
        <v>3083</v>
      </c>
      <c r="I2533" s="71" t="s">
        <v>3035</v>
      </c>
    </row>
    <row r="2534" spans="1:9" ht="43.5" x14ac:dyDescent="0.35">
      <c r="A2534" s="195">
        <v>18</v>
      </c>
      <c r="B2534" s="195">
        <v>25</v>
      </c>
      <c r="C2534" s="195" t="s">
        <v>3094</v>
      </c>
      <c r="D2534" s="64">
        <v>445</v>
      </c>
      <c r="E2534" s="195" t="s">
        <v>373</v>
      </c>
      <c r="F2534" s="71" t="s">
        <v>508</v>
      </c>
      <c r="G2534" s="71" t="s">
        <v>3017</v>
      </c>
      <c r="H2534" s="71" t="s">
        <v>2491</v>
      </c>
      <c r="I2534" s="71" t="s">
        <v>3035</v>
      </c>
    </row>
    <row r="2535" spans="1:9" ht="29" x14ac:dyDescent="0.35">
      <c r="A2535" s="195">
        <v>18</v>
      </c>
      <c r="B2535" s="195">
        <v>26</v>
      </c>
      <c r="C2535" s="195" t="s">
        <v>3098</v>
      </c>
      <c r="D2535" s="64">
        <v>44000</v>
      </c>
      <c r="E2535" s="195" t="s">
        <v>373</v>
      </c>
      <c r="F2535" s="71" t="s">
        <v>3020</v>
      </c>
      <c r="G2535" s="71" t="s">
        <v>3017</v>
      </c>
      <c r="H2535" s="71" t="s">
        <v>3083</v>
      </c>
      <c r="I2535" s="71" t="s">
        <v>415</v>
      </c>
    </row>
    <row r="2536" spans="1:9" ht="29" x14ac:dyDescent="0.35">
      <c r="A2536" s="195">
        <v>18</v>
      </c>
      <c r="B2536" s="195">
        <v>26</v>
      </c>
      <c r="C2536" s="195" t="s">
        <v>3097</v>
      </c>
      <c r="D2536" s="64">
        <v>10475</v>
      </c>
      <c r="E2536" s="195" t="s">
        <v>373</v>
      </c>
      <c r="F2536" s="71" t="s">
        <v>2510</v>
      </c>
      <c r="G2536" s="71" t="s">
        <v>3017</v>
      </c>
      <c r="H2536" s="71" t="s">
        <v>3083</v>
      </c>
      <c r="I2536" s="71" t="s">
        <v>415</v>
      </c>
    </row>
    <row r="2537" spans="1:9" ht="29" x14ac:dyDescent="0.35">
      <c r="A2537" s="195">
        <v>18</v>
      </c>
      <c r="B2537" s="195">
        <v>26</v>
      </c>
      <c r="C2537" s="195" t="s">
        <v>3099</v>
      </c>
      <c r="D2537" s="64">
        <v>3710</v>
      </c>
      <c r="E2537" s="195" t="s">
        <v>373</v>
      </c>
      <c r="F2537" s="71" t="s">
        <v>508</v>
      </c>
      <c r="G2537" s="71" t="s">
        <v>3017</v>
      </c>
      <c r="H2537" s="71" t="s">
        <v>2491</v>
      </c>
      <c r="I2537" s="71" t="s">
        <v>415</v>
      </c>
    </row>
    <row r="2538" spans="1:9" ht="29" x14ac:dyDescent="0.35">
      <c r="A2538" s="195">
        <v>18</v>
      </c>
      <c r="B2538" s="195">
        <v>27</v>
      </c>
      <c r="C2538" s="195" t="s">
        <v>3103</v>
      </c>
      <c r="D2538" s="64">
        <v>57280</v>
      </c>
      <c r="E2538" s="195" t="s">
        <v>366</v>
      </c>
      <c r="F2538" s="71" t="s">
        <v>3020</v>
      </c>
      <c r="G2538" s="71" t="s">
        <v>3101</v>
      </c>
      <c r="H2538" s="71" t="s">
        <v>2502</v>
      </c>
      <c r="I2538" s="71" t="s">
        <v>363</v>
      </c>
    </row>
    <row r="2539" spans="1:9" ht="29" x14ac:dyDescent="0.35">
      <c r="A2539" s="195">
        <v>18</v>
      </c>
      <c r="B2539" s="195">
        <v>27</v>
      </c>
      <c r="C2539" s="195" t="s">
        <v>3100</v>
      </c>
      <c r="D2539" s="64">
        <v>28170</v>
      </c>
      <c r="E2539" s="195" t="s">
        <v>366</v>
      </c>
      <c r="F2539" s="71" t="s">
        <v>2510</v>
      </c>
      <c r="G2539" s="71" t="s">
        <v>3101</v>
      </c>
      <c r="H2539" s="71" t="s">
        <v>2502</v>
      </c>
      <c r="I2539" s="71" t="s">
        <v>363</v>
      </c>
    </row>
    <row r="2540" spans="1:9" ht="29" x14ac:dyDescent="0.35">
      <c r="A2540" s="195">
        <v>18</v>
      </c>
      <c r="B2540" s="195">
        <v>27</v>
      </c>
      <c r="C2540" s="195" t="s">
        <v>3102</v>
      </c>
      <c r="D2540" s="64">
        <v>210735</v>
      </c>
      <c r="E2540" s="195" t="s">
        <v>366</v>
      </c>
      <c r="F2540" s="71" t="s">
        <v>508</v>
      </c>
      <c r="G2540" s="71" t="s">
        <v>3101</v>
      </c>
      <c r="H2540" s="71" t="s">
        <v>2446</v>
      </c>
      <c r="I2540" s="71" t="s">
        <v>363</v>
      </c>
    </row>
    <row r="2541" spans="1:9" ht="29" x14ac:dyDescent="0.35">
      <c r="A2541" s="195">
        <v>18</v>
      </c>
      <c r="B2541" s="195">
        <v>28</v>
      </c>
      <c r="C2541" s="195" t="s">
        <v>3106</v>
      </c>
      <c r="D2541" s="64">
        <v>12315</v>
      </c>
      <c r="E2541" s="195" t="s">
        <v>366</v>
      </c>
      <c r="F2541" s="71" t="s">
        <v>3020</v>
      </c>
      <c r="G2541" s="71" t="s">
        <v>3101</v>
      </c>
      <c r="H2541" s="71" t="s">
        <v>3022</v>
      </c>
      <c r="I2541" s="71" t="s">
        <v>363</v>
      </c>
    </row>
    <row r="2542" spans="1:9" ht="29" x14ac:dyDescent="0.35">
      <c r="A2542" s="195">
        <v>18</v>
      </c>
      <c r="B2542" s="195">
        <v>28</v>
      </c>
      <c r="C2542" s="195" t="s">
        <v>3104</v>
      </c>
      <c r="D2542" s="64">
        <v>9170</v>
      </c>
      <c r="E2542" s="195" t="s">
        <v>366</v>
      </c>
      <c r="F2542" s="71" t="s">
        <v>2510</v>
      </c>
      <c r="G2542" s="71" t="s">
        <v>3101</v>
      </c>
      <c r="H2542" s="71" t="s">
        <v>3022</v>
      </c>
      <c r="I2542" s="71" t="s">
        <v>363</v>
      </c>
    </row>
    <row r="2543" spans="1:9" ht="29" x14ac:dyDescent="0.35">
      <c r="A2543" s="195">
        <v>18</v>
      </c>
      <c r="B2543" s="195">
        <v>28</v>
      </c>
      <c r="C2543" s="195" t="s">
        <v>3105</v>
      </c>
      <c r="D2543" s="64">
        <v>22055</v>
      </c>
      <c r="E2543" s="195" t="s">
        <v>366</v>
      </c>
      <c r="F2543" s="71" t="s">
        <v>508</v>
      </c>
      <c r="G2543" s="71" t="s">
        <v>3101</v>
      </c>
      <c r="H2543" s="71" t="s">
        <v>2456</v>
      </c>
      <c r="I2543" s="71" t="s">
        <v>363</v>
      </c>
    </row>
    <row r="2544" spans="1:9" ht="29" x14ac:dyDescent="0.35">
      <c r="A2544" s="195">
        <v>18</v>
      </c>
      <c r="B2544" s="195">
        <v>29</v>
      </c>
      <c r="C2544" s="195" t="s">
        <v>3109</v>
      </c>
      <c r="D2544" s="64">
        <v>2020</v>
      </c>
      <c r="E2544" s="195" t="s">
        <v>373</v>
      </c>
      <c r="F2544" s="71" t="s">
        <v>3020</v>
      </c>
      <c r="G2544" s="71" t="s">
        <v>3101</v>
      </c>
      <c r="H2544" s="71" t="s">
        <v>3022</v>
      </c>
      <c r="I2544" s="71" t="s">
        <v>371</v>
      </c>
    </row>
    <row r="2545" spans="1:9" ht="29" x14ac:dyDescent="0.35">
      <c r="A2545" s="195">
        <v>18</v>
      </c>
      <c r="B2545" s="195">
        <v>29</v>
      </c>
      <c r="C2545" s="195" t="s">
        <v>3108</v>
      </c>
      <c r="D2545" s="64">
        <v>2435</v>
      </c>
      <c r="E2545" s="195" t="s">
        <v>373</v>
      </c>
      <c r="F2545" s="71" t="s">
        <v>2510</v>
      </c>
      <c r="G2545" s="71" t="s">
        <v>3101</v>
      </c>
      <c r="H2545" s="71" t="s">
        <v>3022</v>
      </c>
      <c r="I2545" s="71" t="s">
        <v>371</v>
      </c>
    </row>
    <row r="2546" spans="1:9" ht="29" x14ac:dyDescent="0.35">
      <c r="A2546" s="195">
        <v>18</v>
      </c>
      <c r="B2546" s="195">
        <v>29</v>
      </c>
      <c r="C2546" s="195" t="s">
        <v>3107</v>
      </c>
      <c r="D2546" s="64">
        <v>12405</v>
      </c>
      <c r="E2546" s="195" t="s">
        <v>373</v>
      </c>
      <c r="F2546" s="71" t="s">
        <v>508</v>
      </c>
      <c r="G2546" s="71" t="s">
        <v>3101</v>
      </c>
      <c r="H2546" s="71" t="s">
        <v>2456</v>
      </c>
      <c r="I2546" s="71" t="s">
        <v>371</v>
      </c>
    </row>
    <row r="2547" spans="1:9" ht="43.5" x14ac:dyDescent="0.35">
      <c r="A2547" s="195">
        <v>18</v>
      </c>
      <c r="B2547" s="195">
        <v>30</v>
      </c>
      <c r="C2547" s="195" t="s">
        <v>3110</v>
      </c>
      <c r="D2547" s="64">
        <v>2390</v>
      </c>
      <c r="E2547" s="195" t="s">
        <v>373</v>
      </c>
      <c r="F2547" s="71" t="s">
        <v>3020</v>
      </c>
      <c r="G2547" s="71" t="s">
        <v>3101</v>
      </c>
      <c r="H2547" s="71" t="s">
        <v>3022</v>
      </c>
      <c r="I2547" s="71" t="s">
        <v>2805</v>
      </c>
    </row>
    <row r="2548" spans="1:9" ht="43.5" x14ac:dyDescent="0.35">
      <c r="A2548" s="195">
        <v>18</v>
      </c>
      <c r="B2548" s="195">
        <v>30</v>
      </c>
      <c r="C2548" s="195" t="s">
        <v>3112</v>
      </c>
      <c r="D2548" s="64">
        <v>1965</v>
      </c>
      <c r="E2548" s="195" t="s">
        <v>373</v>
      </c>
      <c r="F2548" s="71" t="s">
        <v>2510</v>
      </c>
      <c r="G2548" s="71" t="s">
        <v>3101</v>
      </c>
      <c r="H2548" s="71" t="s">
        <v>3022</v>
      </c>
      <c r="I2548" s="71" t="s">
        <v>2805</v>
      </c>
    </row>
    <row r="2549" spans="1:9" ht="43.5" x14ac:dyDescent="0.35">
      <c r="A2549" s="195">
        <v>18</v>
      </c>
      <c r="B2549" s="195">
        <v>30</v>
      </c>
      <c r="C2549" s="195" t="s">
        <v>3111</v>
      </c>
      <c r="D2549" s="64">
        <v>4155</v>
      </c>
      <c r="E2549" s="195" t="s">
        <v>373</v>
      </c>
      <c r="F2549" s="71" t="s">
        <v>508</v>
      </c>
      <c r="G2549" s="71" t="s">
        <v>3101</v>
      </c>
      <c r="H2549" s="71" t="s">
        <v>2456</v>
      </c>
      <c r="I2549" s="71" t="s">
        <v>2805</v>
      </c>
    </row>
    <row r="2550" spans="1:9" ht="43.5" x14ac:dyDescent="0.35">
      <c r="A2550" s="195">
        <v>18</v>
      </c>
      <c r="B2550" s="195">
        <v>31</v>
      </c>
      <c r="C2550" s="195" t="s">
        <v>3115</v>
      </c>
      <c r="D2550" s="64">
        <v>3210</v>
      </c>
      <c r="E2550" s="195" t="s">
        <v>373</v>
      </c>
      <c r="F2550" s="71" t="s">
        <v>3020</v>
      </c>
      <c r="G2550" s="71" t="s">
        <v>3101</v>
      </c>
      <c r="H2550" s="71" t="s">
        <v>3022</v>
      </c>
      <c r="I2550" s="71" t="s">
        <v>2827</v>
      </c>
    </row>
    <row r="2551" spans="1:9" ht="43.5" x14ac:dyDescent="0.35">
      <c r="A2551" s="195">
        <v>18</v>
      </c>
      <c r="B2551" s="195">
        <v>31</v>
      </c>
      <c r="C2551" s="195" t="s">
        <v>3113</v>
      </c>
      <c r="D2551" s="64">
        <v>2060</v>
      </c>
      <c r="E2551" s="195" t="s">
        <v>373</v>
      </c>
      <c r="F2551" s="71" t="s">
        <v>2510</v>
      </c>
      <c r="G2551" s="71" t="s">
        <v>3101</v>
      </c>
      <c r="H2551" s="71" t="s">
        <v>3022</v>
      </c>
      <c r="I2551" s="71" t="s">
        <v>2827</v>
      </c>
    </row>
    <row r="2552" spans="1:9" ht="43.5" x14ac:dyDescent="0.35">
      <c r="A2552" s="195">
        <v>18</v>
      </c>
      <c r="B2552" s="195">
        <v>31</v>
      </c>
      <c r="C2552" s="195" t="s">
        <v>3114</v>
      </c>
      <c r="D2552" s="64">
        <v>2700</v>
      </c>
      <c r="E2552" s="195" t="s">
        <v>373</v>
      </c>
      <c r="F2552" s="71" t="s">
        <v>508</v>
      </c>
      <c r="G2552" s="71" t="s">
        <v>3101</v>
      </c>
      <c r="H2552" s="71" t="s">
        <v>2456</v>
      </c>
      <c r="I2552" s="71" t="s">
        <v>2827</v>
      </c>
    </row>
    <row r="2553" spans="1:9" ht="43.5" x14ac:dyDescent="0.35">
      <c r="A2553" s="195">
        <v>18</v>
      </c>
      <c r="B2553" s="195">
        <v>32</v>
      </c>
      <c r="C2553" s="195" t="s">
        <v>3117</v>
      </c>
      <c r="D2553" s="64">
        <v>1495</v>
      </c>
      <c r="E2553" s="195" t="s">
        <v>373</v>
      </c>
      <c r="F2553" s="71" t="s">
        <v>3020</v>
      </c>
      <c r="G2553" s="71" t="s">
        <v>3101</v>
      </c>
      <c r="H2553" s="71" t="s">
        <v>3022</v>
      </c>
      <c r="I2553" s="71" t="s">
        <v>3035</v>
      </c>
    </row>
    <row r="2554" spans="1:9" ht="43.5" x14ac:dyDescent="0.35">
      <c r="A2554" s="195">
        <v>18</v>
      </c>
      <c r="B2554" s="195">
        <v>32</v>
      </c>
      <c r="C2554" s="195" t="s">
        <v>3116</v>
      </c>
      <c r="D2554" s="64">
        <v>975</v>
      </c>
      <c r="E2554" s="195" t="s">
        <v>373</v>
      </c>
      <c r="F2554" s="71" t="s">
        <v>2510</v>
      </c>
      <c r="G2554" s="71" t="s">
        <v>3101</v>
      </c>
      <c r="H2554" s="71" t="s">
        <v>3022</v>
      </c>
      <c r="I2554" s="71" t="s">
        <v>3035</v>
      </c>
    </row>
    <row r="2555" spans="1:9" ht="43.5" x14ac:dyDescent="0.35">
      <c r="A2555" s="195">
        <v>18</v>
      </c>
      <c r="B2555" s="195">
        <v>32</v>
      </c>
      <c r="C2555" s="195" t="s">
        <v>3118</v>
      </c>
      <c r="D2555" s="64">
        <v>880</v>
      </c>
      <c r="E2555" s="195" t="s">
        <v>373</v>
      </c>
      <c r="F2555" s="71" t="s">
        <v>508</v>
      </c>
      <c r="G2555" s="71" t="s">
        <v>3101</v>
      </c>
      <c r="H2555" s="71" t="s">
        <v>2456</v>
      </c>
      <c r="I2555" s="71" t="s">
        <v>3035</v>
      </c>
    </row>
    <row r="2556" spans="1:9" ht="29" x14ac:dyDescent="0.35">
      <c r="A2556" s="195">
        <v>18</v>
      </c>
      <c r="B2556" s="195">
        <v>33</v>
      </c>
      <c r="C2556" s="195" t="s">
        <v>3119</v>
      </c>
      <c r="D2556" s="64">
        <v>3205</v>
      </c>
      <c r="E2556" s="195" t="s">
        <v>373</v>
      </c>
      <c r="F2556" s="71" t="s">
        <v>3020</v>
      </c>
      <c r="G2556" s="71" t="s">
        <v>3101</v>
      </c>
      <c r="H2556" s="71" t="s">
        <v>3022</v>
      </c>
      <c r="I2556" s="71" t="s">
        <v>415</v>
      </c>
    </row>
    <row r="2557" spans="1:9" ht="29" x14ac:dyDescent="0.35">
      <c r="A2557" s="195">
        <v>18</v>
      </c>
      <c r="B2557" s="195">
        <v>33</v>
      </c>
      <c r="C2557" s="195" t="s">
        <v>3120</v>
      </c>
      <c r="D2557" s="64">
        <v>1730</v>
      </c>
      <c r="E2557" s="195" t="s">
        <v>373</v>
      </c>
      <c r="F2557" s="71" t="s">
        <v>2510</v>
      </c>
      <c r="G2557" s="71" t="s">
        <v>3101</v>
      </c>
      <c r="H2557" s="71" t="s">
        <v>3022</v>
      </c>
      <c r="I2557" s="71" t="s">
        <v>415</v>
      </c>
    </row>
    <row r="2558" spans="1:9" ht="29" x14ac:dyDescent="0.35">
      <c r="A2558" s="195">
        <v>18</v>
      </c>
      <c r="B2558" s="195">
        <v>33</v>
      </c>
      <c r="C2558" s="195" t="s">
        <v>3121</v>
      </c>
      <c r="D2558" s="64">
        <v>1915</v>
      </c>
      <c r="E2558" s="195" t="s">
        <v>373</v>
      </c>
      <c r="F2558" s="71" t="s">
        <v>508</v>
      </c>
      <c r="G2558" s="71" t="s">
        <v>3101</v>
      </c>
      <c r="H2558" s="71" t="s">
        <v>2456</v>
      </c>
      <c r="I2558" s="71" t="s">
        <v>415</v>
      </c>
    </row>
    <row r="2559" spans="1:9" ht="43.5" x14ac:dyDescent="0.35">
      <c r="A2559" s="195">
        <v>18</v>
      </c>
      <c r="B2559" s="195">
        <v>34</v>
      </c>
      <c r="C2559" s="195" t="s">
        <v>3122</v>
      </c>
      <c r="D2559" s="64">
        <v>15225</v>
      </c>
      <c r="E2559" s="195" t="s">
        <v>366</v>
      </c>
      <c r="F2559" s="71" t="s">
        <v>3020</v>
      </c>
      <c r="G2559" s="71" t="s">
        <v>3101</v>
      </c>
      <c r="H2559" s="71" t="s">
        <v>3044</v>
      </c>
      <c r="I2559" s="71" t="s">
        <v>363</v>
      </c>
    </row>
    <row r="2560" spans="1:9" ht="43.5" x14ac:dyDescent="0.35">
      <c r="A2560" s="195">
        <v>18</v>
      </c>
      <c r="B2560" s="195">
        <v>34</v>
      </c>
      <c r="C2560" s="195" t="s">
        <v>3123</v>
      </c>
      <c r="D2560" s="64">
        <v>7145</v>
      </c>
      <c r="E2560" s="195" t="s">
        <v>366</v>
      </c>
      <c r="F2560" s="71" t="s">
        <v>2510</v>
      </c>
      <c r="G2560" s="71" t="s">
        <v>3101</v>
      </c>
      <c r="H2560" s="71" t="s">
        <v>3044</v>
      </c>
      <c r="I2560" s="71" t="s">
        <v>363</v>
      </c>
    </row>
    <row r="2561" spans="1:9" ht="29" x14ac:dyDescent="0.35">
      <c r="A2561" s="195">
        <v>18</v>
      </c>
      <c r="B2561" s="195">
        <v>34</v>
      </c>
      <c r="C2561" s="195" t="s">
        <v>3124</v>
      </c>
      <c r="D2561" s="64">
        <v>83580</v>
      </c>
      <c r="E2561" s="195" t="s">
        <v>366</v>
      </c>
      <c r="F2561" s="71" t="s">
        <v>508</v>
      </c>
      <c r="G2561" s="71" t="s">
        <v>3101</v>
      </c>
      <c r="H2561" s="71" t="s">
        <v>3042</v>
      </c>
      <c r="I2561" s="71" t="s">
        <v>363</v>
      </c>
    </row>
    <row r="2562" spans="1:9" ht="43.5" x14ac:dyDescent="0.35">
      <c r="A2562" s="195">
        <v>18</v>
      </c>
      <c r="B2562" s="195">
        <v>35</v>
      </c>
      <c r="C2562" s="195" t="s">
        <v>3125</v>
      </c>
      <c r="D2562" s="64">
        <v>1660</v>
      </c>
      <c r="E2562" s="195" t="s">
        <v>373</v>
      </c>
      <c r="F2562" s="71" t="s">
        <v>3020</v>
      </c>
      <c r="G2562" s="71" t="s">
        <v>3101</v>
      </c>
      <c r="H2562" s="71" t="s">
        <v>3044</v>
      </c>
      <c r="I2562" s="71" t="s">
        <v>371</v>
      </c>
    </row>
    <row r="2563" spans="1:9" ht="43.5" x14ac:dyDescent="0.35">
      <c r="A2563" s="195">
        <v>18</v>
      </c>
      <c r="B2563" s="195">
        <v>35</v>
      </c>
      <c r="C2563" s="195" t="s">
        <v>3126</v>
      </c>
      <c r="D2563" s="64">
        <v>1420</v>
      </c>
      <c r="E2563" s="195" t="s">
        <v>373</v>
      </c>
      <c r="F2563" s="71" t="s">
        <v>2510</v>
      </c>
      <c r="G2563" s="71" t="s">
        <v>3101</v>
      </c>
      <c r="H2563" s="71" t="s">
        <v>3044</v>
      </c>
      <c r="I2563" s="71" t="s">
        <v>371</v>
      </c>
    </row>
    <row r="2564" spans="1:9" ht="29" x14ac:dyDescent="0.35">
      <c r="A2564" s="195">
        <v>18</v>
      </c>
      <c r="B2564" s="195">
        <v>35</v>
      </c>
      <c r="C2564" s="195" t="s">
        <v>3127</v>
      </c>
      <c r="D2564" s="64">
        <v>30620</v>
      </c>
      <c r="E2564" s="195" t="s">
        <v>373</v>
      </c>
      <c r="F2564" s="71" t="s">
        <v>508</v>
      </c>
      <c r="G2564" s="71" t="s">
        <v>3101</v>
      </c>
      <c r="H2564" s="71" t="s">
        <v>3042</v>
      </c>
      <c r="I2564" s="71" t="s">
        <v>371</v>
      </c>
    </row>
    <row r="2565" spans="1:9" ht="43.5" x14ac:dyDescent="0.35">
      <c r="A2565" s="195">
        <v>18</v>
      </c>
      <c r="B2565" s="195">
        <v>36</v>
      </c>
      <c r="C2565" s="195" t="s">
        <v>3129</v>
      </c>
      <c r="D2565" s="64">
        <v>2455</v>
      </c>
      <c r="E2565" s="195" t="s">
        <v>373</v>
      </c>
      <c r="F2565" s="71" t="s">
        <v>3020</v>
      </c>
      <c r="G2565" s="71" t="s">
        <v>3101</v>
      </c>
      <c r="H2565" s="71" t="s">
        <v>3044</v>
      </c>
      <c r="I2565" s="71" t="s">
        <v>2805</v>
      </c>
    </row>
    <row r="2566" spans="1:9" ht="43.5" x14ac:dyDescent="0.35">
      <c r="A2566" s="195">
        <v>18</v>
      </c>
      <c r="B2566" s="195">
        <v>36</v>
      </c>
      <c r="C2566" s="195" t="s">
        <v>3128</v>
      </c>
      <c r="D2566" s="64">
        <v>1380</v>
      </c>
      <c r="E2566" s="195" t="s">
        <v>373</v>
      </c>
      <c r="F2566" s="71" t="s">
        <v>2510</v>
      </c>
      <c r="G2566" s="71" t="s">
        <v>3101</v>
      </c>
      <c r="H2566" s="71" t="s">
        <v>3044</v>
      </c>
      <c r="I2566" s="71" t="s">
        <v>2805</v>
      </c>
    </row>
    <row r="2567" spans="1:9" ht="43.5" x14ac:dyDescent="0.35">
      <c r="A2567" s="195">
        <v>18</v>
      </c>
      <c r="B2567" s="195">
        <v>36</v>
      </c>
      <c r="C2567" s="195" t="s">
        <v>3130</v>
      </c>
      <c r="D2567" s="64">
        <v>21105</v>
      </c>
      <c r="E2567" s="195" t="s">
        <v>373</v>
      </c>
      <c r="F2567" s="71" t="s">
        <v>508</v>
      </c>
      <c r="G2567" s="71" t="s">
        <v>3101</v>
      </c>
      <c r="H2567" s="71" t="s">
        <v>3042</v>
      </c>
      <c r="I2567" s="71" t="s">
        <v>2805</v>
      </c>
    </row>
    <row r="2568" spans="1:9" ht="43.5" x14ac:dyDescent="0.35">
      <c r="A2568" s="195">
        <v>18</v>
      </c>
      <c r="B2568" s="195">
        <v>37</v>
      </c>
      <c r="C2568" s="195" t="s">
        <v>3131</v>
      </c>
      <c r="D2568" s="64">
        <v>3315</v>
      </c>
      <c r="E2568" s="195" t="s">
        <v>373</v>
      </c>
      <c r="F2568" s="71" t="s">
        <v>3020</v>
      </c>
      <c r="G2568" s="71" t="s">
        <v>3101</v>
      </c>
      <c r="H2568" s="71" t="s">
        <v>3044</v>
      </c>
      <c r="I2568" s="71" t="s">
        <v>2827</v>
      </c>
    </row>
    <row r="2569" spans="1:9" ht="43.5" x14ac:dyDescent="0.35">
      <c r="A2569" s="195">
        <v>18</v>
      </c>
      <c r="B2569" s="195">
        <v>37</v>
      </c>
      <c r="C2569" s="195" t="s">
        <v>3132</v>
      </c>
      <c r="D2569" s="64">
        <v>1760</v>
      </c>
      <c r="E2569" s="195" t="s">
        <v>373</v>
      </c>
      <c r="F2569" s="71" t="s">
        <v>2510</v>
      </c>
      <c r="G2569" s="71" t="s">
        <v>3101</v>
      </c>
      <c r="H2569" s="71" t="s">
        <v>3044</v>
      </c>
      <c r="I2569" s="71" t="s">
        <v>2827</v>
      </c>
    </row>
    <row r="2570" spans="1:9" ht="43.5" x14ac:dyDescent="0.35">
      <c r="A2570" s="195">
        <v>18</v>
      </c>
      <c r="B2570" s="195">
        <v>37</v>
      </c>
      <c r="C2570" s="195" t="s">
        <v>3133</v>
      </c>
      <c r="D2570" s="64">
        <v>18050</v>
      </c>
      <c r="E2570" s="195" t="s">
        <v>373</v>
      </c>
      <c r="F2570" s="71" t="s">
        <v>508</v>
      </c>
      <c r="G2570" s="71" t="s">
        <v>3101</v>
      </c>
      <c r="H2570" s="71" t="s">
        <v>3042</v>
      </c>
      <c r="I2570" s="71" t="s">
        <v>2827</v>
      </c>
    </row>
    <row r="2571" spans="1:9" ht="43.5" x14ac:dyDescent="0.35">
      <c r="A2571" s="195">
        <v>18</v>
      </c>
      <c r="B2571" s="195">
        <v>38</v>
      </c>
      <c r="C2571" s="195" t="s">
        <v>3136</v>
      </c>
      <c r="D2571" s="64">
        <v>2205</v>
      </c>
      <c r="E2571" s="195" t="s">
        <v>373</v>
      </c>
      <c r="F2571" s="71" t="s">
        <v>3020</v>
      </c>
      <c r="G2571" s="71" t="s">
        <v>3101</v>
      </c>
      <c r="H2571" s="71" t="s">
        <v>3044</v>
      </c>
      <c r="I2571" s="71" t="s">
        <v>3035</v>
      </c>
    </row>
    <row r="2572" spans="1:9" ht="43.5" x14ac:dyDescent="0.35">
      <c r="A2572" s="195">
        <v>18</v>
      </c>
      <c r="B2572" s="195">
        <v>38</v>
      </c>
      <c r="C2572" s="195" t="s">
        <v>3135</v>
      </c>
      <c r="D2572" s="64">
        <v>830</v>
      </c>
      <c r="E2572" s="195" t="s">
        <v>373</v>
      </c>
      <c r="F2572" s="71" t="s">
        <v>2510</v>
      </c>
      <c r="G2572" s="71" t="s">
        <v>3101</v>
      </c>
      <c r="H2572" s="71" t="s">
        <v>3044</v>
      </c>
      <c r="I2572" s="71" t="s">
        <v>3035</v>
      </c>
    </row>
    <row r="2573" spans="1:9" ht="43.5" x14ac:dyDescent="0.35">
      <c r="A2573" s="195">
        <v>18</v>
      </c>
      <c r="B2573" s="195">
        <v>38</v>
      </c>
      <c r="C2573" s="195" t="s">
        <v>3134</v>
      </c>
      <c r="D2573" s="64">
        <v>5435</v>
      </c>
      <c r="E2573" s="195" t="s">
        <v>373</v>
      </c>
      <c r="F2573" s="71" t="s">
        <v>508</v>
      </c>
      <c r="G2573" s="71" t="s">
        <v>3101</v>
      </c>
      <c r="H2573" s="71" t="s">
        <v>3042</v>
      </c>
      <c r="I2573" s="71" t="s">
        <v>3035</v>
      </c>
    </row>
    <row r="2574" spans="1:9" ht="43.5" x14ac:dyDescent="0.35">
      <c r="A2574" s="195">
        <v>18</v>
      </c>
      <c r="B2574" s="195">
        <v>39</v>
      </c>
      <c r="C2574" s="195" t="s">
        <v>3137</v>
      </c>
      <c r="D2574" s="64">
        <v>5590</v>
      </c>
      <c r="E2574" s="195" t="s">
        <v>373</v>
      </c>
      <c r="F2574" s="71" t="s">
        <v>3020</v>
      </c>
      <c r="G2574" s="71" t="s">
        <v>3101</v>
      </c>
      <c r="H2574" s="71" t="s">
        <v>3044</v>
      </c>
      <c r="I2574" s="71" t="s">
        <v>415</v>
      </c>
    </row>
    <row r="2575" spans="1:9" ht="43.5" x14ac:dyDescent="0.35">
      <c r="A2575" s="195">
        <v>18</v>
      </c>
      <c r="B2575" s="195">
        <v>39</v>
      </c>
      <c r="C2575" s="195" t="s">
        <v>3139</v>
      </c>
      <c r="D2575" s="64">
        <v>1755</v>
      </c>
      <c r="E2575" s="195" t="s">
        <v>373</v>
      </c>
      <c r="F2575" s="71" t="s">
        <v>2510</v>
      </c>
      <c r="G2575" s="71" t="s">
        <v>3101</v>
      </c>
      <c r="H2575" s="71" t="s">
        <v>3044</v>
      </c>
      <c r="I2575" s="71" t="s">
        <v>415</v>
      </c>
    </row>
    <row r="2576" spans="1:9" ht="29" x14ac:dyDescent="0.35">
      <c r="A2576" s="195">
        <v>18</v>
      </c>
      <c r="B2576" s="195">
        <v>39</v>
      </c>
      <c r="C2576" s="195" t="s">
        <v>3138</v>
      </c>
      <c r="D2576" s="64">
        <v>8370</v>
      </c>
      <c r="E2576" s="195" t="s">
        <v>373</v>
      </c>
      <c r="F2576" s="71" t="s">
        <v>508</v>
      </c>
      <c r="G2576" s="71" t="s">
        <v>3101</v>
      </c>
      <c r="H2576" s="71" t="s">
        <v>3042</v>
      </c>
      <c r="I2576" s="71" t="s">
        <v>415</v>
      </c>
    </row>
    <row r="2577" spans="1:9" ht="43.5" x14ac:dyDescent="0.35">
      <c r="A2577" s="195">
        <v>18</v>
      </c>
      <c r="B2577" s="195">
        <v>40</v>
      </c>
      <c r="C2577" s="195" t="s">
        <v>3141</v>
      </c>
      <c r="D2577" s="64">
        <v>6430</v>
      </c>
      <c r="E2577" s="195" t="s">
        <v>366</v>
      </c>
      <c r="F2577" s="71" t="s">
        <v>3020</v>
      </c>
      <c r="G2577" s="71" t="s">
        <v>3101</v>
      </c>
      <c r="H2577" s="71" t="s">
        <v>3064</v>
      </c>
      <c r="I2577" s="71" t="s">
        <v>363</v>
      </c>
    </row>
    <row r="2578" spans="1:9" ht="43.5" x14ac:dyDescent="0.35">
      <c r="A2578" s="195">
        <v>18</v>
      </c>
      <c r="B2578" s="195">
        <v>40</v>
      </c>
      <c r="C2578" s="195" t="s">
        <v>3142</v>
      </c>
      <c r="D2578" s="64">
        <v>2985</v>
      </c>
      <c r="E2578" s="195" t="s">
        <v>366</v>
      </c>
      <c r="F2578" s="71" t="s">
        <v>2510</v>
      </c>
      <c r="G2578" s="71" t="s">
        <v>3101</v>
      </c>
      <c r="H2578" s="71" t="s">
        <v>3064</v>
      </c>
      <c r="I2578" s="71" t="s">
        <v>363</v>
      </c>
    </row>
    <row r="2579" spans="1:9" ht="29" x14ac:dyDescent="0.35">
      <c r="A2579" s="195">
        <v>18</v>
      </c>
      <c r="B2579" s="195">
        <v>40</v>
      </c>
      <c r="C2579" s="195" t="s">
        <v>3140</v>
      </c>
      <c r="D2579" s="64">
        <v>81200</v>
      </c>
      <c r="E2579" s="195" t="s">
        <v>366</v>
      </c>
      <c r="F2579" s="71" t="s">
        <v>508</v>
      </c>
      <c r="G2579" s="71" t="s">
        <v>3101</v>
      </c>
      <c r="H2579" s="71" t="s">
        <v>3062</v>
      </c>
      <c r="I2579" s="71" t="s">
        <v>363</v>
      </c>
    </row>
    <row r="2580" spans="1:9" ht="43.5" x14ac:dyDescent="0.35">
      <c r="A2580" s="195">
        <v>18</v>
      </c>
      <c r="B2580" s="195">
        <v>41</v>
      </c>
      <c r="C2580" s="195" t="s">
        <v>3143</v>
      </c>
      <c r="D2580" s="195">
        <v>565</v>
      </c>
      <c r="E2580" s="195" t="s">
        <v>373</v>
      </c>
      <c r="F2580" s="71" t="s">
        <v>3020</v>
      </c>
      <c r="G2580" s="71" t="s">
        <v>3101</v>
      </c>
      <c r="H2580" s="71" t="s">
        <v>3064</v>
      </c>
      <c r="I2580" s="71" t="s">
        <v>371</v>
      </c>
    </row>
    <row r="2581" spans="1:9" ht="43.5" x14ac:dyDescent="0.35">
      <c r="A2581" s="195">
        <v>18</v>
      </c>
      <c r="B2581" s="195">
        <v>41</v>
      </c>
      <c r="C2581" s="195" t="s">
        <v>3144</v>
      </c>
      <c r="D2581" s="195">
        <v>605</v>
      </c>
      <c r="E2581" s="195" t="s">
        <v>373</v>
      </c>
      <c r="F2581" s="71" t="s">
        <v>2510</v>
      </c>
      <c r="G2581" s="71" t="s">
        <v>3101</v>
      </c>
      <c r="H2581" s="71" t="s">
        <v>3064</v>
      </c>
      <c r="I2581" s="71" t="s">
        <v>371</v>
      </c>
    </row>
    <row r="2582" spans="1:9" ht="29" x14ac:dyDescent="0.35">
      <c r="A2582" s="195">
        <v>18</v>
      </c>
      <c r="B2582" s="195">
        <v>41</v>
      </c>
      <c r="C2582" s="195" t="s">
        <v>3145</v>
      </c>
      <c r="D2582" s="64">
        <v>20410</v>
      </c>
      <c r="E2582" s="195" t="s">
        <v>373</v>
      </c>
      <c r="F2582" s="71" t="s">
        <v>508</v>
      </c>
      <c r="G2582" s="71" t="s">
        <v>3101</v>
      </c>
      <c r="H2582" s="71" t="s">
        <v>3062</v>
      </c>
      <c r="I2582" s="71" t="s">
        <v>371</v>
      </c>
    </row>
    <row r="2583" spans="1:9" ht="43.5" x14ac:dyDescent="0.35">
      <c r="A2583" s="195">
        <v>18</v>
      </c>
      <c r="B2583" s="195">
        <v>42</v>
      </c>
      <c r="C2583" s="195" t="s">
        <v>3147</v>
      </c>
      <c r="D2583" s="64">
        <v>835</v>
      </c>
      <c r="E2583" s="195" t="s">
        <v>373</v>
      </c>
      <c r="F2583" s="71" t="s">
        <v>3020</v>
      </c>
      <c r="G2583" s="71" t="s">
        <v>3101</v>
      </c>
      <c r="H2583" s="71" t="s">
        <v>3064</v>
      </c>
      <c r="I2583" s="71" t="s">
        <v>2805</v>
      </c>
    </row>
    <row r="2584" spans="1:9" ht="43.5" x14ac:dyDescent="0.35">
      <c r="A2584" s="195">
        <v>18</v>
      </c>
      <c r="B2584" s="195">
        <v>42</v>
      </c>
      <c r="C2584" s="195" t="s">
        <v>3146</v>
      </c>
      <c r="D2584" s="195">
        <v>565</v>
      </c>
      <c r="E2584" s="195" t="s">
        <v>373</v>
      </c>
      <c r="F2584" s="71" t="s">
        <v>2510</v>
      </c>
      <c r="G2584" s="71" t="s">
        <v>3101</v>
      </c>
      <c r="H2584" s="71" t="s">
        <v>3064</v>
      </c>
      <c r="I2584" s="71" t="s">
        <v>2805</v>
      </c>
    </row>
    <row r="2585" spans="1:9" ht="43.5" x14ac:dyDescent="0.35">
      <c r="A2585" s="195">
        <v>18</v>
      </c>
      <c r="B2585" s="195">
        <v>42</v>
      </c>
      <c r="C2585" s="195" t="s">
        <v>3148</v>
      </c>
      <c r="D2585" s="195">
        <v>15055</v>
      </c>
      <c r="E2585" s="195" t="s">
        <v>373</v>
      </c>
      <c r="F2585" s="71" t="s">
        <v>508</v>
      </c>
      <c r="G2585" s="71" t="s">
        <v>3101</v>
      </c>
      <c r="H2585" s="71" t="s">
        <v>3062</v>
      </c>
      <c r="I2585" s="71" t="s">
        <v>2805</v>
      </c>
    </row>
    <row r="2586" spans="1:9" ht="43.5" x14ac:dyDescent="0.35">
      <c r="A2586" s="195">
        <v>18</v>
      </c>
      <c r="B2586" s="195">
        <v>43</v>
      </c>
      <c r="C2586" s="195" t="s">
        <v>3150</v>
      </c>
      <c r="D2586" s="64">
        <v>1465</v>
      </c>
      <c r="E2586" s="195" t="s">
        <v>373</v>
      </c>
      <c r="F2586" s="71" t="s">
        <v>3020</v>
      </c>
      <c r="G2586" s="71" t="s">
        <v>3101</v>
      </c>
      <c r="H2586" s="71" t="s">
        <v>3064</v>
      </c>
      <c r="I2586" s="71" t="s">
        <v>2827</v>
      </c>
    </row>
    <row r="2587" spans="1:9" ht="43.5" x14ac:dyDescent="0.35">
      <c r="A2587" s="195">
        <v>18</v>
      </c>
      <c r="B2587" s="195">
        <v>43</v>
      </c>
      <c r="C2587" s="195" t="s">
        <v>3151</v>
      </c>
      <c r="D2587" s="195">
        <v>680</v>
      </c>
      <c r="E2587" s="195" t="s">
        <v>373</v>
      </c>
      <c r="F2587" s="71" t="s">
        <v>2510</v>
      </c>
      <c r="G2587" s="71" t="s">
        <v>3101</v>
      </c>
      <c r="H2587" s="71" t="s">
        <v>3064</v>
      </c>
      <c r="I2587" s="71" t="s">
        <v>2827</v>
      </c>
    </row>
    <row r="2588" spans="1:9" ht="43.5" x14ac:dyDescent="0.35">
      <c r="A2588" s="195">
        <v>18</v>
      </c>
      <c r="B2588" s="195">
        <v>43</v>
      </c>
      <c r="C2588" s="195" t="s">
        <v>3149</v>
      </c>
      <c r="D2588" s="64">
        <v>16670</v>
      </c>
      <c r="E2588" s="195" t="s">
        <v>373</v>
      </c>
      <c r="F2588" s="71" t="s">
        <v>508</v>
      </c>
      <c r="G2588" s="71" t="s">
        <v>3101</v>
      </c>
      <c r="H2588" s="71" t="s">
        <v>3062</v>
      </c>
      <c r="I2588" s="71" t="s">
        <v>2827</v>
      </c>
    </row>
    <row r="2589" spans="1:9" ht="43.5" x14ac:dyDescent="0.35">
      <c r="A2589" s="195">
        <v>18</v>
      </c>
      <c r="B2589" s="195">
        <v>44</v>
      </c>
      <c r="C2589" s="195" t="s">
        <v>3154</v>
      </c>
      <c r="D2589" s="64">
        <v>905</v>
      </c>
      <c r="E2589" s="195" t="s">
        <v>373</v>
      </c>
      <c r="F2589" s="71" t="s">
        <v>3020</v>
      </c>
      <c r="G2589" s="71" t="s">
        <v>3101</v>
      </c>
      <c r="H2589" s="71" t="s">
        <v>3064</v>
      </c>
      <c r="I2589" s="71" t="s">
        <v>3035</v>
      </c>
    </row>
    <row r="2590" spans="1:9" ht="43.5" x14ac:dyDescent="0.35">
      <c r="A2590" s="195">
        <v>18</v>
      </c>
      <c r="B2590" s="195">
        <v>44</v>
      </c>
      <c r="C2590" s="195" t="s">
        <v>3152</v>
      </c>
      <c r="D2590" s="64">
        <v>210</v>
      </c>
      <c r="E2590" s="195" t="s">
        <v>373</v>
      </c>
      <c r="F2590" s="71" t="s">
        <v>2510</v>
      </c>
      <c r="G2590" s="71" t="s">
        <v>3101</v>
      </c>
      <c r="H2590" s="71" t="s">
        <v>3064</v>
      </c>
      <c r="I2590" s="71" t="s">
        <v>3035</v>
      </c>
    </row>
    <row r="2591" spans="1:9" ht="43.5" x14ac:dyDescent="0.35">
      <c r="A2591" s="195">
        <v>18</v>
      </c>
      <c r="B2591" s="195">
        <v>44</v>
      </c>
      <c r="C2591" s="195" t="s">
        <v>3153</v>
      </c>
      <c r="D2591" s="195">
        <v>8525</v>
      </c>
      <c r="E2591" s="195" t="s">
        <v>373</v>
      </c>
      <c r="F2591" s="71" t="s">
        <v>508</v>
      </c>
      <c r="G2591" s="71" t="s">
        <v>3101</v>
      </c>
      <c r="H2591" s="71" t="s">
        <v>3062</v>
      </c>
      <c r="I2591" s="71" t="s">
        <v>3035</v>
      </c>
    </row>
    <row r="2592" spans="1:9" ht="43.5" x14ac:dyDescent="0.35">
      <c r="A2592" s="195">
        <v>18</v>
      </c>
      <c r="B2592" s="195">
        <v>45</v>
      </c>
      <c r="C2592" s="195" t="s">
        <v>3156</v>
      </c>
      <c r="D2592" s="64">
        <v>2660</v>
      </c>
      <c r="E2592" s="195" t="s">
        <v>373</v>
      </c>
      <c r="F2592" s="71" t="s">
        <v>3020</v>
      </c>
      <c r="G2592" s="71" t="s">
        <v>3101</v>
      </c>
      <c r="H2592" s="71" t="s">
        <v>3064</v>
      </c>
      <c r="I2592" s="71" t="s">
        <v>415</v>
      </c>
    </row>
    <row r="2593" spans="1:9" ht="43.5" x14ac:dyDescent="0.35">
      <c r="A2593" s="195">
        <v>18</v>
      </c>
      <c r="B2593" s="195">
        <v>45</v>
      </c>
      <c r="C2593" s="195" t="s">
        <v>3155</v>
      </c>
      <c r="D2593" s="64">
        <v>930</v>
      </c>
      <c r="E2593" s="195" t="s">
        <v>373</v>
      </c>
      <c r="F2593" s="71" t="s">
        <v>2510</v>
      </c>
      <c r="G2593" s="71" t="s">
        <v>3101</v>
      </c>
      <c r="H2593" s="71" t="s">
        <v>3064</v>
      </c>
      <c r="I2593" s="71" t="s">
        <v>415</v>
      </c>
    </row>
    <row r="2594" spans="1:9" ht="29" x14ac:dyDescent="0.35">
      <c r="A2594" s="195">
        <v>18</v>
      </c>
      <c r="B2594" s="195">
        <v>45</v>
      </c>
      <c r="C2594" s="195" t="s">
        <v>3157</v>
      </c>
      <c r="D2594" s="64">
        <v>20540</v>
      </c>
      <c r="E2594" s="195" t="s">
        <v>373</v>
      </c>
      <c r="F2594" s="71" t="s">
        <v>508</v>
      </c>
      <c r="G2594" s="71" t="s">
        <v>3101</v>
      </c>
      <c r="H2594" s="71" t="s">
        <v>3062</v>
      </c>
      <c r="I2594" s="71" t="s">
        <v>415</v>
      </c>
    </row>
    <row r="2595" spans="1:9" ht="29" x14ac:dyDescent="0.35">
      <c r="A2595" s="195">
        <v>18</v>
      </c>
      <c r="B2595" s="195">
        <v>46</v>
      </c>
      <c r="C2595" s="195" t="s">
        <v>3160</v>
      </c>
      <c r="D2595" s="64">
        <v>23310</v>
      </c>
      <c r="E2595" s="195" t="s">
        <v>366</v>
      </c>
      <c r="F2595" s="71" t="s">
        <v>3020</v>
      </c>
      <c r="G2595" s="71" t="s">
        <v>3101</v>
      </c>
      <c r="H2595" s="71" t="s">
        <v>3083</v>
      </c>
      <c r="I2595" s="71" t="s">
        <v>363</v>
      </c>
    </row>
    <row r="2596" spans="1:9" ht="29" x14ac:dyDescent="0.35">
      <c r="A2596" s="195">
        <v>18</v>
      </c>
      <c r="B2596" s="195">
        <v>46</v>
      </c>
      <c r="C2596" s="195" t="s">
        <v>3159</v>
      </c>
      <c r="D2596" s="64">
        <v>8870</v>
      </c>
      <c r="E2596" s="195" t="s">
        <v>366</v>
      </c>
      <c r="F2596" s="71" t="s">
        <v>2510</v>
      </c>
      <c r="G2596" s="71" t="s">
        <v>3101</v>
      </c>
      <c r="H2596" s="71" t="s">
        <v>3083</v>
      </c>
      <c r="I2596" s="71" t="s">
        <v>363</v>
      </c>
    </row>
    <row r="2597" spans="1:9" ht="29" x14ac:dyDescent="0.35">
      <c r="A2597" s="195">
        <v>18</v>
      </c>
      <c r="B2597" s="195">
        <v>46</v>
      </c>
      <c r="C2597" s="195" t="s">
        <v>3158</v>
      </c>
      <c r="D2597" s="64">
        <v>23900</v>
      </c>
      <c r="E2597" s="195" t="s">
        <v>366</v>
      </c>
      <c r="F2597" s="71" t="s">
        <v>508</v>
      </c>
      <c r="G2597" s="71" t="s">
        <v>3101</v>
      </c>
      <c r="H2597" s="71" t="s">
        <v>2491</v>
      </c>
      <c r="I2597" s="71" t="s">
        <v>363</v>
      </c>
    </row>
    <row r="2598" spans="1:9" ht="29" x14ac:dyDescent="0.35">
      <c r="A2598" s="195">
        <v>18</v>
      </c>
      <c r="B2598" s="195">
        <v>47</v>
      </c>
      <c r="C2598" s="195" t="s">
        <v>3161</v>
      </c>
      <c r="D2598" s="64">
        <v>1285</v>
      </c>
      <c r="E2598" s="195" t="s">
        <v>373</v>
      </c>
      <c r="F2598" s="71" t="s">
        <v>3020</v>
      </c>
      <c r="G2598" s="71" t="s">
        <v>3101</v>
      </c>
      <c r="H2598" s="71" t="s">
        <v>3083</v>
      </c>
      <c r="I2598" s="71" t="s">
        <v>371</v>
      </c>
    </row>
    <row r="2599" spans="1:9" ht="29" x14ac:dyDescent="0.35">
      <c r="A2599" s="195">
        <v>18</v>
      </c>
      <c r="B2599" s="195">
        <v>47</v>
      </c>
      <c r="C2599" s="195" t="s">
        <v>3162</v>
      </c>
      <c r="D2599" s="64">
        <v>1205</v>
      </c>
      <c r="E2599" s="195" t="s">
        <v>373</v>
      </c>
      <c r="F2599" s="71" t="s">
        <v>2510</v>
      </c>
      <c r="G2599" s="71" t="s">
        <v>3101</v>
      </c>
      <c r="H2599" s="71" t="s">
        <v>3083</v>
      </c>
      <c r="I2599" s="71" t="s">
        <v>371</v>
      </c>
    </row>
    <row r="2600" spans="1:9" ht="29" x14ac:dyDescent="0.35">
      <c r="A2600" s="195">
        <v>18</v>
      </c>
      <c r="B2600" s="195">
        <v>47</v>
      </c>
      <c r="C2600" s="195" t="s">
        <v>3163</v>
      </c>
      <c r="D2600" s="64">
        <v>2175</v>
      </c>
      <c r="E2600" s="195" t="s">
        <v>373</v>
      </c>
      <c r="F2600" s="71" t="s">
        <v>508</v>
      </c>
      <c r="G2600" s="71" t="s">
        <v>3101</v>
      </c>
      <c r="H2600" s="71" t="s">
        <v>2491</v>
      </c>
      <c r="I2600" s="71" t="s">
        <v>371</v>
      </c>
    </row>
    <row r="2601" spans="1:9" ht="43.5" x14ac:dyDescent="0.35">
      <c r="A2601" s="195">
        <v>18</v>
      </c>
      <c r="B2601" s="195">
        <v>48</v>
      </c>
      <c r="C2601" s="195" t="s">
        <v>3165</v>
      </c>
      <c r="D2601" s="64">
        <v>1690</v>
      </c>
      <c r="E2601" s="195" t="s">
        <v>373</v>
      </c>
      <c r="F2601" s="71" t="s">
        <v>3020</v>
      </c>
      <c r="G2601" s="71" t="s">
        <v>3101</v>
      </c>
      <c r="H2601" s="71" t="s">
        <v>3083</v>
      </c>
      <c r="I2601" s="71" t="s">
        <v>2805</v>
      </c>
    </row>
    <row r="2602" spans="1:9" ht="43.5" x14ac:dyDescent="0.35">
      <c r="A2602" s="195">
        <v>18</v>
      </c>
      <c r="B2602" s="195">
        <v>48</v>
      </c>
      <c r="C2602" s="195" t="s">
        <v>3164</v>
      </c>
      <c r="D2602" s="64">
        <v>1360</v>
      </c>
      <c r="E2602" s="195" t="s">
        <v>373</v>
      </c>
      <c r="F2602" s="71" t="s">
        <v>2510</v>
      </c>
      <c r="G2602" s="71" t="s">
        <v>3101</v>
      </c>
      <c r="H2602" s="71" t="s">
        <v>3083</v>
      </c>
      <c r="I2602" s="71" t="s">
        <v>2805</v>
      </c>
    </row>
    <row r="2603" spans="1:9" ht="43.5" x14ac:dyDescent="0.35">
      <c r="A2603" s="195">
        <v>18</v>
      </c>
      <c r="B2603" s="195">
        <v>48</v>
      </c>
      <c r="C2603" s="195" t="s">
        <v>3166</v>
      </c>
      <c r="D2603" s="64">
        <v>1570</v>
      </c>
      <c r="E2603" s="195" t="s">
        <v>373</v>
      </c>
      <c r="F2603" s="71" t="s">
        <v>508</v>
      </c>
      <c r="G2603" s="71" t="s">
        <v>3101</v>
      </c>
      <c r="H2603" s="71" t="s">
        <v>2491</v>
      </c>
      <c r="I2603" s="71" t="s">
        <v>2805</v>
      </c>
    </row>
    <row r="2604" spans="1:9" ht="43.5" x14ac:dyDescent="0.35">
      <c r="A2604" s="195">
        <v>18</v>
      </c>
      <c r="B2604" s="195">
        <v>49</v>
      </c>
      <c r="C2604" s="195" t="s">
        <v>3169</v>
      </c>
      <c r="D2604" s="64">
        <v>2370</v>
      </c>
      <c r="E2604" s="195" t="s">
        <v>373</v>
      </c>
      <c r="F2604" s="71" t="s">
        <v>3020</v>
      </c>
      <c r="G2604" s="71" t="s">
        <v>3101</v>
      </c>
      <c r="H2604" s="71" t="s">
        <v>3083</v>
      </c>
      <c r="I2604" s="71" t="s">
        <v>2827</v>
      </c>
    </row>
    <row r="2605" spans="1:9" ht="43.5" x14ac:dyDescent="0.35">
      <c r="A2605" s="195">
        <v>18</v>
      </c>
      <c r="B2605" s="195">
        <v>49</v>
      </c>
      <c r="C2605" s="195" t="s">
        <v>3167</v>
      </c>
      <c r="D2605" s="64">
        <v>1635</v>
      </c>
      <c r="E2605" s="195" t="s">
        <v>373</v>
      </c>
      <c r="F2605" s="71" t="s">
        <v>2510</v>
      </c>
      <c r="G2605" s="71" t="s">
        <v>3101</v>
      </c>
      <c r="H2605" s="71" t="s">
        <v>3083</v>
      </c>
      <c r="I2605" s="71" t="s">
        <v>2827</v>
      </c>
    </row>
    <row r="2606" spans="1:9" ht="43.5" x14ac:dyDescent="0.35">
      <c r="A2606" s="195">
        <v>18</v>
      </c>
      <c r="B2606" s="195">
        <v>49</v>
      </c>
      <c r="C2606" s="195" t="s">
        <v>3168</v>
      </c>
      <c r="D2606" s="64">
        <v>2070</v>
      </c>
      <c r="E2606" s="195" t="s">
        <v>373</v>
      </c>
      <c r="F2606" s="71" t="s">
        <v>508</v>
      </c>
      <c r="G2606" s="71" t="s">
        <v>3101</v>
      </c>
      <c r="H2606" s="71" t="s">
        <v>2491</v>
      </c>
      <c r="I2606" s="71" t="s">
        <v>2827</v>
      </c>
    </row>
    <row r="2607" spans="1:9" ht="43.5" x14ac:dyDescent="0.35">
      <c r="A2607" s="195">
        <v>18</v>
      </c>
      <c r="B2607" s="195">
        <v>50</v>
      </c>
      <c r="C2607" s="195" t="s">
        <v>3171</v>
      </c>
      <c r="D2607" s="64">
        <v>1950</v>
      </c>
      <c r="E2607" s="195" t="s">
        <v>373</v>
      </c>
      <c r="F2607" s="71" t="s">
        <v>3020</v>
      </c>
      <c r="G2607" s="71" t="s">
        <v>3101</v>
      </c>
      <c r="H2607" s="71" t="s">
        <v>3083</v>
      </c>
      <c r="I2607" s="71" t="s">
        <v>3035</v>
      </c>
    </row>
    <row r="2608" spans="1:9" ht="43.5" x14ac:dyDescent="0.35">
      <c r="A2608" s="195">
        <v>18</v>
      </c>
      <c r="B2608" s="195">
        <v>50</v>
      </c>
      <c r="C2608" s="195" t="s">
        <v>3170</v>
      </c>
      <c r="D2608" s="64">
        <v>1020</v>
      </c>
      <c r="E2608" s="195" t="s">
        <v>373</v>
      </c>
      <c r="F2608" s="71" t="s">
        <v>2510</v>
      </c>
      <c r="G2608" s="71" t="s">
        <v>3101</v>
      </c>
      <c r="H2608" s="71" t="s">
        <v>3083</v>
      </c>
      <c r="I2608" s="71" t="s">
        <v>3035</v>
      </c>
    </row>
    <row r="2609" spans="1:9" ht="43.5" x14ac:dyDescent="0.35">
      <c r="A2609" s="195">
        <v>18</v>
      </c>
      <c r="B2609" s="195">
        <v>50</v>
      </c>
      <c r="C2609" s="195" t="s">
        <v>3172</v>
      </c>
      <c r="D2609" s="64">
        <v>1570</v>
      </c>
      <c r="E2609" s="195" t="s">
        <v>373</v>
      </c>
      <c r="F2609" s="71" t="s">
        <v>508</v>
      </c>
      <c r="G2609" s="71" t="s">
        <v>3101</v>
      </c>
      <c r="H2609" s="71" t="s">
        <v>2491</v>
      </c>
      <c r="I2609" s="71" t="s">
        <v>3035</v>
      </c>
    </row>
    <row r="2610" spans="1:9" ht="29" x14ac:dyDescent="0.35">
      <c r="A2610" s="195">
        <v>18</v>
      </c>
      <c r="B2610" s="195">
        <v>51</v>
      </c>
      <c r="C2610" s="195" t="s">
        <v>3175</v>
      </c>
      <c r="D2610" s="64">
        <v>16015</v>
      </c>
      <c r="E2610" s="195" t="s">
        <v>373</v>
      </c>
      <c r="F2610" s="71" t="s">
        <v>3020</v>
      </c>
      <c r="G2610" s="71" t="s">
        <v>3101</v>
      </c>
      <c r="H2610" s="71" t="s">
        <v>3083</v>
      </c>
      <c r="I2610" s="71" t="s">
        <v>415</v>
      </c>
    </row>
    <row r="2611" spans="1:9" ht="29" x14ac:dyDescent="0.35">
      <c r="A2611" s="195">
        <v>18</v>
      </c>
      <c r="B2611" s="195">
        <v>51</v>
      </c>
      <c r="C2611" s="195" t="s">
        <v>3173</v>
      </c>
      <c r="D2611" s="64">
        <v>3645</v>
      </c>
      <c r="E2611" s="195" t="s">
        <v>373</v>
      </c>
      <c r="F2611" s="71" t="s">
        <v>2510</v>
      </c>
      <c r="G2611" s="71" t="s">
        <v>3101</v>
      </c>
      <c r="H2611" s="71" t="s">
        <v>3083</v>
      </c>
      <c r="I2611" s="71" t="s">
        <v>415</v>
      </c>
    </row>
    <row r="2612" spans="1:9" ht="29" x14ac:dyDescent="0.35">
      <c r="A2612" s="195">
        <v>18</v>
      </c>
      <c r="B2612" s="195">
        <v>51</v>
      </c>
      <c r="C2612" s="195" t="s">
        <v>3174</v>
      </c>
      <c r="D2612" s="64">
        <v>16515</v>
      </c>
      <c r="E2612" s="195" t="s">
        <v>373</v>
      </c>
      <c r="F2612" s="71" t="s">
        <v>508</v>
      </c>
      <c r="G2612" s="71" t="s">
        <v>3101</v>
      </c>
      <c r="H2612" s="71" t="s">
        <v>2491</v>
      </c>
      <c r="I2612" s="71" t="s">
        <v>415</v>
      </c>
    </row>
    <row r="2613" spans="1:9" ht="29" x14ac:dyDescent="0.35">
      <c r="A2613" s="195">
        <v>18</v>
      </c>
      <c r="B2613" s="195">
        <v>52</v>
      </c>
      <c r="C2613" s="195" t="s">
        <v>3179</v>
      </c>
      <c r="D2613" s="64">
        <v>79900</v>
      </c>
      <c r="E2613" s="195" t="s">
        <v>366</v>
      </c>
      <c r="F2613" s="71" t="s">
        <v>3020</v>
      </c>
      <c r="G2613" s="71" t="s">
        <v>3177</v>
      </c>
      <c r="H2613" s="71" t="s">
        <v>2502</v>
      </c>
      <c r="I2613" s="71" t="s">
        <v>363</v>
      </c>
    </row>
    <row r="2614" spans="1:9" ht="29" x14ac:dyDescent="0.35">
      <c r="A2614" s="195">
        <v>18</v>
      </c>
      <c r="B2614" s="195">
        <v>52</v>
      </c>
      <c r="C2614" s="195" t="s">
        <v>3176</v>
      </c>
      <c r="D2614" s="64">
        <v>29390</v>
      </c>
      <c r="E2614" s="195" t="s">
        <v>366</v>
      </c>
      <c r="F2614" s="71" t="s">
        <v>2510</v>
      </c>
      <c r="G2614" s="71" t="s">
        <v>3177</v>
      </c>
      <c r="H2614" s="71" t="s">
        <v>2502</v>
      </c>
      <c r="I2614" s="71" t="s">
        <v>363</v>
      </c>
    </row>
    <row r="2615" spans="1:9" ht="29" x14ac:dyDescent="0.35">
      <c r="A2615" s="195">
        <v>18</v>
      </c>
      <c r="B2615" s="195">
        <v>52</v>
      </c>
      <c r="C2615" s="195" t="s">
        <v>3178</v>
      </c>
      <c r="D2615" s="64">
        <v>314220</v>
      </c>
      <c r="E2615" s="195" t="s">
        <v>366</v>
      </c>
      <c r="F2615" s="71" t="s">
        <v>508</v>
      </c>
      <c r="G2615" s="71" t="s">
        <v>3177</v>
      </c>
      <c r="H2615" s="71" t="s">
        <v>2446</v>
      </c>
      <c r="I2615" s="71" t="s">
        <v>363</v>
      </c>
    </row>
    <row r="2616" spans="1:9" ht="29" x14ac:dyDescent="0.35">
      <c r="A2616" s="195">
        <v>18</v>
      </c>
      <c r="B2616" s="195">
        <v>53</v>
      </c>
      <c r="C2616" s="195" t="s">
        <v>3180</v>
      </c>
      <c r="D2616" s="64">
        <v>11280</v>
      </c>
      <c r="E2616" s="195" t="s">
        <v>366</v>
      </c>
      <c r="F2616" s="71" t="s">
        <v>3020</v>
      </c>
      <c r="G2616" s="71" t="s">
        <v>3177</v>
      </c>
      <c r="H2616" s="71" t="s">
        <v>3022</v>
      </c>
      <c r="I2616" s="71" t="s">
        <v>363</v>
      </c>
    </row>
    <row r="2617" spans="1:9" ht="29" x14ac:dyDescent="0.35">
      <c r="A2617" s="195">
        <v>18</v>
      </c>
      <c r="B2617" s="195">
        <v>53</v>
      </c>
      <c r="C2617" s="195" t="s">
        <v>3182</v>
      </c>
      <c r="D2617" s="64">
        <v>6335</v>
      </c>
      <c r="E2617" s="195" t="s">
        <v>366</v>
      </c>
      <c r="F2617" s="71" t="s">
        <v>2510</v>
      </c>
      <c r="G2617" s="71" t="s">
        <v>3177</v>
      </c>
      <c r="H2617" s="71" t="s">
        <v>3022</v>
      </c>
      <c r="I2617" s="71" t="s">
        <v>363</v>
      </c>
    </row>
    <row r="2618" spans="1:9" ht="29" x14ac:dyDescent="0.35">
      <c r="A2618" s="195">
        <v>18</v>
      </c>
      <c r="B2618" s="195">
        <v>53</v>
      </c>
      <c r="C2618" s="195" t="s">
        <v>3181</v>
      </c>
      <c r="D2618" s="64">
        <v>47990</v>
      </c>
      <c r="E2618" s="195" t="s">
        <v>366</v>
      </c>
      <c r="F2618" s="71" t="s">
        <v>508</v>
      </c>
      <c r="G2618" s="71" t="s">
        <v>3177</v>
      </c>
      <c r="H2618" s="71" t="s">
        <v>2456</v>
      </c>
      <c r="I2618" s="71" t="s">
        <v>363</v>
      </c>
    </row>
    <row r="2619" spans="1:9" ht="29" x14ac:dyDescent="0.35">
      <c r="A2619" s="195">
        <v>18</v>
      </c>
      <c r="B2619" s="195">
        <v>54</v>
      </c>
      <c r="C2619" s="195" t="s">
        <v>3185</v>
      </c>
      <c r="D2619" s="64">
        <v>1365</v>
      </c>
      <c r="E2619" s="195" t="s">
        <v>373</v>
      </c>
      <c r="F2619" s="71" t="s">
        <v>3020</v>
      </c>
      <c r="G2619" s="71" t="s">
        <v>3177</v>
      </c>
      <c r="H2619" s="71" t="s">
        <v>3022</v>
      </c>
      <c r="I2619" s="71" t="s">
        <v>371</v>
      </c>
    </row>
    <row r="2620" spans="1:9" ht="29" x14ac:dyDescent="0.35">
      <c r="A2620" s="195">
        <v>18</v>
      </c>
      <c r="B2620" s="195">
        <v>54</v>
      </c>
      <c r="C2620" s="195" t="s">
        <v>3184</v>
      </c>
      <c r="D2620" s="64">
        <v>1435</v>
      </c>
      <c r="E2620" s="195" t="s">
        <v>373</v>
      </c>
      <c r="F2620" s="71" t="s">
        <v>2510</v>
      </c>
      <c r="G2620" s="71" t="s">
        <v>3177</v>
      </c>
      <c r="H2620" s="71" t="s">
        <v>3022</v>
      </c>
      <c r="I2620" s="71" t="s">
        <v>371</v>
      </c>
    </row>
    <row r="2621" spans="1:9" ht="29" x14ac:dyDescent="0.35">
      <c r="A2621" s="195">
        <v>18</v>
      </c>
      <c r="B2621" s="195">
        <v>54</v>
      </c>
      <c r="C2621" s="195" t="s">
        <v>3183</v>
      </c>
      <c r="D2621" s="64">
        <v>37345</v>
      </c>
      <c r="E2621" s="195" t="s">
        <v>373</v>
      </c>
      <c r="F2621" s="71" t="s">
        <v>508</v>
      </c>
      <c r="G2621" s="71" t="s">
        <v>3177</v>
      </c>
      <c r="H2621" s="71" t="s">
        <v>2456</v>
      </c>
      <c r="I2621" s="71" t="s">
        <v>371</v>
      </c>
    </row>
    <row r="2622" spans="1:9" ht="43.5" x14ac:dyDescent="0.35">
      <c r="A2622" s="195">
        <v>18</v>
      </c>
      <c r="B2622" s="195">
        <v>55</v>
      </c>
      <c r="C2622" s="195" t="s">
        <v>3188</v>
      </c>
      <c r="D2622" s="64">
        <v>1005</v>
      </c>
      <c r="E2622" s="195" t="s">
        <v>373</v>
      </c>
      <c r="F2622" s="71" t="s">
        <v>3020</v>
      </c>
      <c r="G2622" s="71" t="s">
        <v>3177</v>
      </c>
      <c r="H2622" s="71" t="s">
        <v>3022</v>
      </c>
      <c r="I2622" s="71" t="s">
        <v>2805</v>
      </c>
    </row>
    <row r="2623" spans="1:9" ht="43.5" x14ac:dyDescent="0.35">
      <c r="A2623" s="195">
        <v>18</v>
      </c>
      <c r="B2623" s="195">
        <v>55</v>
      </c>
      <c r="C2623" s="195" t="s">
        <v>3186</v>
      </c>
      <c r="D2623" s="64">
        <v>1015</v>
      </c>
      <c r="E2623" s="195" t="s">
        <v>373</v>
      </c>
      <c r="F2623" s="71" t="s">
        <v>2510</v>
      </c>
      <c r="G2623" s="71" t="s">
        <v>3177</v>
      </c>
      <c r="H2623" s="71" t="s">
        <v>3022</v>
      </c>
      <c r="I2623" s="71" t="s">
        <v>2805</v>
      </c>
    </row>
    <row r="2624" spans="1:9" ht="43.5" x14ac:dyDescent="0.35">
      <c r="A2624" s="195">
        <v>18</v>
      </c>
      <c r="B2624" s="195">
        <v>55</v>
      </c>
      <c r="C2624" s="195" t="s">
        <v>3187</v>
      </c>
      <c r="D2624" s="64">
        <v>5825</v>
      </c>
      <c r="E2624" s="195" t="s">
        <v>373</v>
      </c>
      <c r="F2624" s="71" t="s">
        <v>508</v>
      </c>
      <c r="G2624" s="71" t="s">
        <v>3177</v>
      </c>
      <c r="H2624" s="71" t="s">
        <v>2456</v>
      </c>
      <c r="I2624" s="71" t="s">
        <v>2805</v>
      </c>
    </row>
    <row r="2625" spans="1:9" ht="43.5" x14ac:dyDescent="0.35">
      <c r="A2625" s="195">
        <v>18</v>
      </c>
      <c r="B2625" s="195">
        <v>56</v>
      </c>
      <c r="C2625" s="195" t="s">
        <v>3189</v>
      </c>
      <c r="D2625" s="64">
        <v>1880</v>
      </c>
      <c r="E2625" s="195" t="s">
        <v>373</v>
      </c>
      <c r="F2625" s="71" t="s">
        <v>3020</v>
      </c>
      <c r="G2625" s="71" t="s">
        <v>3177</v>
      </c>
      <c r="H2625" s="71" t="s">
        <v>3022</v>
      </c>
      <c r="I2625" s="71" t="s">
        <v>2827</v>
      </c>
    </row>
    <row r="2626" spans="1:9" ht="43.5" x14ac:dyDescent="0.35">
      <c r="A2626" s="195">
        <v>18</v>
      </c>
      <c r="B2626" s="195">
        <v>56</v>
      </c>
      <c r="C2626" s="195" t="s">
        <v>3191</v>
      </c>
      <c r="D2626" s="64">
        <v>1320</v>
      </c>
      <c r="E2626" s="195" t="s">
        <v>373</v>
      </c>
      <c r="F2626" s="71" t="s">
        <v>2510</v>
      </c>
      <c r="G2626" s="71" t="s">
        <v>3177</v>
      </c>
      <c r="H2626" s="71" t="s">
        <v>3022</v>
      </c>
      <c r="I2626" s="71" t="s">
        <v>2827</v>
      </c>
    </row>
    <row r="2627" spans="1:9" ht="43.5" x14ac:dyDescent="0.35">
      <c r="A2627" s="195">
        <v>18</v>
      </c>
      <c r="B2627" s="195">
        <v>56</v>
      </c>
      <c r="C2627" s="195" t="s">
        <v>3190</v>
      </c>
      <c r="D2627" s="64">
        <v>2415</v>
      </c>
      <c r="E2627" s="195" t="s">
        <v>373</v>
      </c>
      <c r="F2627" s="71" t="s">
        <v>508</v>
      </c>
      <c r="G2627" s="71" t="s">
        <v>3177</v>
      </c>
      <c r="H2627" s="71" t="s">
        <v>2456</v>
      </c>
      <c r="I2627" s="71" t="s">
        <v>2827</v>
      </c>
    </row>
    <row r="2628" spans="1:9" ht="43.5" x14ac:dyDescent="0.35">
      <c r="A2628" s="195">
        <v>18</v>
      </c>
      <c r="B2628" s="195">
        <v>57</v>
      </c>
      <c r="C2628" s="195" t="s">
        <v>3193</v>
      </c>
      <c r="D2628" s="64">
        <v>1860</v>
      </c>
      <c r="E2628" s="195" t="s">
        <v>373</v>
      </c>
      <c r="F2628" s="71" t="s">
        <v>3020</v>
      </c>
      <c r="G2628" s="71" t="s">
        <v>3177</v>
      </c>
      <c r="H2628" s="71" t="s">
        <v>3022</v>
      </c>
      <c r="I2628" s="71" t="s">
        <v>3035</v>
      </c>
    </row>
    <row r="2629" spans="1:9" ht="43.5" x14ac:dyDescent="0.35">
      <c r="A2629" s="195">
        <v>18</v>
      </c>
      <c r="B2629" s="195">
        <v>57</v>
      </c>
      <c r="C2629" s="195" t="s">
        <v>3192</v>
      </c>
      <c r="D2629" s="64">
        <v>695</v>
      </c>
      <c r="E2629" s="195" t="s">
        <v>373</v>
      </c>
      <c r="F2629" s="71" t="s">
        <v>2510</v>
      </c>
      <c r="G2629" s="71" t="s">
        <v>3177</v>
      </c>
      <c r="H2629" s="71" t="s">
        <v>3022</v>
      </c>
      <c r="I2629" s="71" t="s">
        <v>3035</v>
      </c>
    </row>
    <row r="2630" spans="1:9" ht="43.5" x14ac:dyDescent="0.35">
      <c r="A2630" s="195">
        <v>18</v>
      </c>
      <c r="B2630" s="195">
        <v>57</v>
      </c>
      <c r="C2630" s="195" t="s">
        <v>3194</v>
      </c>
      <c r="D2630" s="64">
        <v>780</v>
      </c>
      <c r="E2630" s="195" t="s">
        <v>373</v>
      </c>
      <c r="F2630" s="71" t="s">
        <v>508</v>
      </c>
      <c r="G2630" s="71" t="s">
        <v>3177</v>
      </c>
      <c r="H2630" s="71" t="s">
        <v>2456</v>
      </c>
      <c r="I2630" s="71" t="s">
        <v>3035</v>
      </c>
    </row>
    <row r="2631" spans="1:9" ht="29" x14ac:dyDescent="0.35">
      <c r="A2631" s="195">
        <v>18</v>
      </c>
      <c r="B2631" s="195">
        <v>58</v>
      </c>
      <c r="C2631" s="195" t="s">
        <v>3195</v>
      </c>
      <c r="D2631" s="64">
        <v>5165</v>
      </c>
      <c r="E2631" s="195" t="s">
        <v>373</v>
      </c>
      <c r="F2631" s="71" t="s">
        <v>3020</v>
      </c>
      <c r="G2631" s="71" t="s">
        <v>3177</v>
      </c>
      <c r="H2631" s="71" t="s">
        <v>3022</v>
      </c>
      <c r="I2631" s="71" t="s">
        <v>415</v>
      </c>
    </row>
    <row r="2632" spans="1:9" ht="29" x14ac:dyDescent="0.35">
      <c r="A2632" s="195">
        <v>18</v>
      </c>
      <c r="B2632" s="195">
        <v>58</v>
      </c>
      <c r="C2632" s="195" t="s">
        <v>3196</v>
      </c>
      <c r="D2632" s="64">
        <v>1865</v>
      </c>
      <c r="E2632" s="195" t="s">
        <v>373</v>
      </c>
      <c r="F2632" s="71" t="s">
        <v>2510</v>
      </c>
      <c r="G2632" s="71" t="s">
        <v>3177</v>
      </c>
      <c r="H2632" s="71" t="s">
        <v>3022</v>
      </c>
      <c r="I2632" s="71" t="s">
        <v>415</v>
      </c>
    </row>
    <row r="2633" spans="1:9" ht="29" x14ac:dyDescent="0.35">
      <c r="A2633" s="195">
        <v>18</v>
      </c>
      <c r="B2633" s="195">
        <v>58</v>
      </c>
      <c r="C2633" s="195" t="s">
        <v>3197</v>
      </c>
      <c r="D2633" s="64">
        <v>1630</v>
      </c>
      <c r="E2633" s="195" t="s">
        <v>373</v>
      </c>
      <c r="F2633" s="71" t="s">
        <v>508</v>
      </c>
      <c r="G2633" s="71" t="s">
        <v>3177</v>
      </c>
      <c r="H2633" s="71" t="s">
        <v>2456</v>
      </c>
      <c r="I2633" s="71" t="s">
        <v>415</v>
      </c>
    </row>
    <row r="2634" spans="1:9" ht="43.5" x14ac:dyDescent="0.35">
      <c r="A2634" s="195">
        <v>18</v>
      </c>
      <c r="B2634" s="195">
        <v>59</v>
      </c>
      <c r="C2634" s="195" t="s">
        <v>3199</v>
      </c>
      <c r="D2634" s="64">
        <v>13020</v>
      </c>
      <c r="E2634" s="195" t="s">
        <v>366</v>
      </c>
      <c r="F2634" s="71" t="s">
        <v>3020</v>
      </c>
      <c r="G2634" s="71" t="s">
        <v>3177</v>
      </c>
      <c r="H2634" s="71" t="s">
        <v>3044</v>
      </c>
      <c r="I2634" s="71" t="s">
        <v>363</v>
      </c>
    </row>
    <row r="2635" spans="1:9" ht="43.5" x14ac:dyDescent="0.35">
      <c r="A2635" s="195">
        <v>18</v>
      </c>
      <c r="B2635" s="195">
        <v>59</v>
      </c>
      <c r="C2635" s="195" t="s">
        <v>3200</v>
      </c>
      <c r="D2635" s="64">
        <v>5355</v>
      </c>
      <c r="E2635" s="195" t="s">
        <v>366</v>
      </c>
      <c r="F2635" s="71" t="s">
        <v>2510</v>
      </c>
      <c r="G2635" s="71" t="s">
        <v>3177</v>
      </c>
      <c r="H2635" s="71" t="s">
        <v>3044</v>
      </c>
      <c r="I2635" s="71" t="s">
        <v>363</v>
      </c>
    </row>
    <row r="2636" spans="1:9" ht="29" x14ac:dyDescent="0.35">
      <c r="A2636" s="195">
        <v>18</v>
      </c>
      <c r="B2636" s="195">
        <v>59</v>
      </c>
      <c r="C2636" s="195" t="s">
        <v>3198</v>
      </c>
      <c r="D2636" s="64">
        <v>69895</v>
      </c>
      <c r="E2636" s="195" t="s">
        <v>366</v>
      </c>
      <c r="F2636" s="71" t="s">
        <v>508</v>
      </c>
      <c r="G2636" s="71" t="s">
        <v>3177</v>
      </c>
      <c r="H2636" s="71" t="s">
        <v>3042</v>
      </c>
      <c r="I2636" s="71" t="s">
        <v>363</v>
      </c>
    </row>
    <row r="2637" spans="1:9" ht="43.5" x14ac:dyDescent="0.35">
      <c r="A2637" s="195">
        <v>18</v>
      </c>
      <c r="B2637" s="195">
        <v>60</v>
      </c>
      <c r="C2637" s="195" t="s">
        <v>3203</v>
      </c>
      <c r="D2637" s="64">
        <v>700</v>
      </c>
      <c r="E2637" s="195" t="s">
        <v>373</v>
      </c>
      <c r="F2637" s="71" t="s">
        <v>3020</v>
      </c>
      <c r="G2637" s="71" t="s">
        <v>3177</v>
      </c>
      <c r="H2637" s="71" t="s">
        <v>3044</v>
      </c>
      <c r="I2637" s="71" t="s">
        <v>371</v>
      </c>
    </row>
    <row r="2638" spans="1:9" ht="43.5" x14ac:dyDescent="0.35">
      <c r="A2638" s="195">
        <v>18</v>
      </c>
      <c r="B2638" s="195">
        <v>60</v>
      </c>
      <c r="C2638" s="195" t="s">
        <v>3201</v>
      </c>
      <c r="D2638" s="64">
        <v>995</v>
      </c>
      <c r="E2638" s="195" t="s">
        <v>373</v>
      </c>
      <c r="F2638" s="71" t="s">
        <v>2510</v>
      </c>
      <c r="G2638" s="71" t="s">
        <v>3177</v>
      </c>
      <c r="H2638" s="71" t="s">
        <v>3044</v>
      </c>
      <c r="I2638" s="71" t="s">
        <v>371</v>
      </c>
    </row>
    <row r="2639" spans="1:9" ht="29" x14ac:dyDescent="0.35">
      <c r="A2639" s="195">
        <v>18</v>
      </c>
      <c r="B2639" s="195">
        <v>60</v>
      </c>
      <c r="C2639" s="195" t="s">
        <v>3202</v>
      </c>
      <c r="D2639" s="64">
        <v>28905</v>
      </c>
      <c r="E2639" s="195" t="s">
        <v>373</v>
      </c>
      <c r="F2639" s="71" t="s">
        <v>508</v>
      </c>
      <c r="G2639" s="71" t="s">
        <v>3177</v>
      </c>
      <c r="H2639" s="71" t="s">
        <v>3042</v>
      </c>
      <c r="I2639" s="71" t="s">
        <v>371</v>
      </c>
    </row>
    <row r="2640" spans="1:9" ht="43.5" x14ac:dyDescent="0.35">
      <c r="A2640" s="195">
        <v>18</v>
      </c>
      <c r="B2640" s="195">
        <v>61</v>
      </c>
      <c r="C2640" s="195" t="s">
        <v>3204</v>
      </c>
      <c r="D2640" s="64">
        <v>730</v>
      </c>
      <c r="E2640" s="195" t="s">
        <v>373</v>
      </c>
      <c r="F2640" s="71" t="s">
        <v>3020</v>
      </c>
      <c r="G2640" s="71" t="s">
        <v>3177</v>
      </c>
      <c r="H2640" s="71" t="s">
        <v>3044</v>
      </c>
      <c r="I2640" s="71" t="s">
        <v>2805</v>
      </c>
    </row>
    <row r="2641" spans="1:9" ht="43.5" x14ac:dyDescent="0.35">
      <c r="A2641" s="195">
        <v>18</v>
      </c>
      <c r="B2641" s="195">
        <v>61</v>
      </c>
      <c r="C2641" s="195" t="s">
        <v>3206</v>
      </c>
      <c r="D2641" s="64">
        <v>880</v>
      </c>
      <c r="E2641" s="195" t="s">
        <v>373</v>
      </c>
      <c r="F2641" s="71" t="s">
        <v>2510</v>
      </c>
      <c r="G2641" s="71" t="s">
        <v>3177</v>
      </c>
      <c r="H2641" s="71" t="s">
        <v>3044</v>
      </c>
      <c r="I2641" s="71" t="s">
        <v>2805</v>
      </c>
    </row>
    <row r="2642" spans="1:9" ht="43.5" x14ac:dyDescent="0.35">
      <c r="A2642" s="195">
        <v>18</v>
      </c>
      <c r="B2642" s="195">
        <v>61</v>
      </c>
      <c r="C2642" s="195" t="s">
        <v>3205</v>
      </c>
      <c r="D2642" s="64">
        <v>17660</v>
      </c>
      <c r="E2642" s="195" t="s">
        <v>373</v>
      </c>
      <c r="F2642" s="71" t="s">
        <v>508</v>
      </c>
      <c r="G2642" s="71" t="s">
        <v>3177</v>
      </c>
      <c r="H2642" s="71" t="s">
        <v>3042</v>
      </c>
      <c r="I2642" s="71" t="s">
        <v>2805</v>
      </c>
    </row>
    <row r="2643" spans="1:9" ht="43.5" x14ac:dyDescent="0.35">
      <c r="A2643" s="195">
        <v>18</v>
      </c>
      <c r="B2643" s="195">
        <v>62</v>
      </c>
      <c r="C2643" s="195" t="s">
        <v>3209</v>
      </c>
      <c r="D2643" s="64">
        <v>1855</v>
      </c>
      <c r="E2643" s="195" t="s">
        <v>373</v>
      </c>
      <c r="F2643" s="71" t="s">
        <v>3020</v>
      </c>
      <c r="G2643" s="71" t="s">
        <v>3177</v>
      </c>
      <c r="H2643" s="71" t="s">
        <v>3044</v>
      </c>
      <c r="I2643" s="71" t="s">
        <v>2827</v>
      </c>
    </row>
    <row r="2644" spans="1:9" ht="43.5" x14ac:dyDescent="0.35">
      <c r="A2644" s="195">
        <v>18</v>
      </c>
      <c r="B2644" s="195">
        <v>62</v>
      </c>
      <c r="C2644" s="195" t="s">
        <v>3208</v>
      </c>
      <c r="D2644" s="64">
        <v>725</v>
      </c>
      <c r="E2644" s="195" t="s">
        <v>373</v>
      </c>
      <c r="F2644" s="71" t="s">
        <v>2510</v>
      </c>
      <c r="G2644" s="71" t="s">
        <v>3177</v>
      </c>
      <c r="H2644" s="71" t="s">
        <v>3044</v>
      </c>
      <c r="I2644" s="71" t="s">
        <v>2827</v>
      </c>
    </row>
    <row r="2645" spans="1:9" ht="43.5" x14ac:dyDescent="0.35">
      <c r="A2645" s="195">
        <v>18</v>
      </c>
      <c r="B2645" s="195">
        <v>62</v>
      </c>
      <c r="C2645" s="195" t="s">
        <v>3207</v>
      </c>
      <c r="D2645" s="64">
        <v>13930</v>
      </c>
      <c r="E2645" s="195" t="s">
        <v>373</v>
      </c>
      <c r="F2645" s="71" t="s">
        <v>508</v>
      </c>
      <c r="G2645" s="71" t="s">
        <v>3177</v>
      </c>
      <c r="H2645" s="71" t="s">
        <v>3042</v>
      </c>
      <c r="I2645" s="71" t="s">
        <v>2827</v>
      </c>
    </row>
    <row r="2646" spans="1:9" ht="43.5" x14ac:dyDescent="0.35">
      <c r="A2646" s="195">
        <v>18</v>
      </c>
      <c r="B2646" s="195">
        <v>63</v>
      </c>
      <c r="C2646" s="195" t="s">
        <v>3210</v>
      </c>
      <c r="D2646" s="64">
        <v>1500</v>
      </c>
      <c r="E2646" s="195" t="s">
        <v>373</v>
      </c>
      <c r="F2646" s="71" t="s">
        <v>3020</v>
      </c>
      <c r="G2646" s="71" t="s">
        <v>3177</v>
      </c>
      <c r="H2646" s="71" t="s">
        <v>3044</v>
      </c>
      <c r="I2646" s="71" t="s">
        <v>3035</v>
      </c>
    </row>
    <row r="2647" spans="1:9" ht="43.5" x14ac:dyDescent="0.35">
      <c r="A2647" s="195">
        <v>18</v>
      </c>
      <c r="B2647" s="195">
        <v>63</v>
      </c>
      <c r="C2647" s="195" t="s">
        <v>3212</v>
      </c>
      <c r="D2647" s="64">
        <v>575</v>
      </c>
      <c r="E2647" s="195" t="s">
        <v>373</v>
      </c>
      <c r="F2647" s="71" t="s">
        <v>2510</v>
      </c>
      <c r="G2647" s="71" t="s">
        <v>3177</v>
      </c>
      <c r="H2647" s="71" t="s">
        <v>3044</v>
      </c>
      <c r="I2647" s="71" t="s">
        <v>3035</v>
      </c>
    </row>
    <row r="2648" spans="1:9" ht="43.5" x14ac:dyDescent="0.35">
      <c r="A2648" s="195">
        <v>18</v>
      </c>
      <c r="B2648" s="195">
        <v>63</v>
      </c>
      <c r="C2648" s="195" t="s">
        <v>3211</v>
      </c>
      <c r="D2648" s="64">
        <v>4140</v>
      </c>
      <c r="E2648" s="195" t="s">
        <v>373</v>
      </c>
      <c r="F2648" s="71" t="s">
        <v>508</v>
      </c>
      <c r="G2648" s="71" t="s">
        <v>3177</v>
      </c>
      <c r="H2648" s="71" t="s">
        <v>3042</v>
      </c>
      <c r="I2648" s="71" t="s">
        <v>3035</v>
      </c>
    </row>
    <row r="2649" spans="1:9" ht="43.5" x14ac:dyDescent="0.35">
      <c r="A2649" s="195">
        <v>18</v>
      </c>
      <c r="B2649" s="195">
        <v>64</v>
      </c>
      <c r="C2649" s="195" t="s">
        <v>3214</v>
      </c>
      <c r="D2649" s="64">
        <v>8240</v>
      </c>
      <c r="E2649" s="195" t="s">
        <v>373</v>
      </c>
      <c r="F2649" s="71" t="s">
        <v>3020</v>
      </c>
      <c r="G2649" s="71" t="s">
        <v>3177</v>
      </c>
      <c r="H2649" s="71" t="s">
        <v>3044</v>
      </c>
      <c r="I2649" s="71" t="s">
        <v>415</v>
      </c>
    </row>
    <row r="2650" spans="1:9" ht="43.5" x14ac:dyDescent="0.35">
      <c r="A2650" s="195">
        <v>18</v>
      </c>
      <c r="B2650" s="195">
        <v>64</v>
      </c>
      <c r="C2650" s="195" t="s">
        <v>3213</v>
      </c>
      <c r="D2650" s="64">
        <v>2180</v>
      </c>
      <c r="E2650" s="195" t="s">
        <v>373</v>
      </c>
      <c r="F2650" s="71" t="s">
        <v>2510</v>
      </c>
      <c r="G2650" s="71" t="s">
        <v>3177</v>
      </c>
      <c r="H2650" s="71" t="s">
        <v>3044</v>
      </c>
      <c r="I2650" s="71" t="s">
        <v>415</v>
      </c>
    </row>
    <row r="2651" spans="1:9" ht="29" x14ac:dyDescent="0.35">
      <c r="A2651" s="195">
        <v>18</v>
      </c>
      <c r="B2651" s="195">
        <v>64</v>
      </c>
      <c r="C2651" s="195" t="s">
        <v>3215</v>
      </c>
      <c r="D2651" s="64">
        <v>5260</v>
      </c>
      <c r="E2651" s="195" t="s">
        <v>373</v>
      </c>
      <c r="F2651" s="71" t="s">
        <v>508</v>
      </c>
      <c r="G2651" s="71" t="s">
        <v>3177</v>
      </c>
      <c r="H2651" s="71" t="s">
        <v>3042</v>
      </c>
      <c r="I2651" s="71" t="s">
        <v>415</v>
      </c>
    </row>
    <row r="2652" spans="1:9" ht="43.5" x14ac:dyDescent="0.35">
      <c r="A2652" s="195">
        <v>18</v>
      </c>
      <c r="B2652" s="195">
        <v>65</v>
      </c>
      <c r="C2652" s="195" t="s">
        <v>3216</v>
      </c>
      <c r="D2652" s="64">
        <v>10885</v>
      </c>
      <c r="E2652" s="195" t="s">
        <v>366</v>
      </c>
      <c r="F2652" s="71" t="s">
        <v>3020</v>
      </c>
      <c r="G2652" s="71" t="s">
        <v>3177</v>
      </c>
      <c r="H2652" s="71" t="s">
        <v>3064</v>
      </c>
      <c r="I2652" s="71" t="s">
        <v>363</v>
      </c>
    </row>
    <row r="2653" spans="1:9" ht="43.5" x14ac:dyDescent="0.35">
      <c r="A2653" s="195">
        <v>18</v>
      </c>
      <c r="B2653" s="195">
        <v>65</v>
      </c>
      <c r="C2653" s="195" t="s">
        <v>3217</v>
      </c>
      <c r="D2653" s="64">
        <v>3190</v>
      </c>
      <c r="E2653" s="195" t="s">
        <v>366</v>
      </c>
      <c r="F2653" s="71" t="s">
        <v>2510</v>
      </c>
      <c r="G2653" s="71" t="s">
        <v>3177</v>
      </c>
      <c r="H2653" s="71" t="s">
        <v>3064</v>
      </c>
      <c r="I2653" s="71" t="s">
        <v>363</v>
      </c>
    </row>
    <row r="2654" spans="1:9" ht="29" x14ac:dyDescent="0.35">
      <c r="A2654" s="195">
        <v>18</v>
      </c>
      <c r="B2654" s="195">
        <v>65</v>
      </c>
      <c r="C2654" s="195" t="s">
        <v>3218</v>
      </c>
      <c r="D2654" s="64">
        <v>112090</v>
      </c>
      <c r="E2654" s="195" t="s">
        <v>366</v>
      </c>
      <c r="F2654" s="71" t="s">
        <v>508</v>
      </c>
      <c r="G2654" s="71" t="s">
        <v>3177</v>
      </c>
      <c r="H2654" s="71" t="s">
        <v>3062</v>
      </c>
      <c r="I2654" s="71" t="s">
        <v>363</v>
      </c>
    </row>
    <row r="2655" spans="1:9" ht="43.5" x14ac:dyDescent="0.35">
      <c r="A2655" s="195">
        <v>18</v>
      </c>
      <c r="B2655" s="195">
        <v>66</v>
      </c>
      <c r="C2655" s="195" t="s">
        <v>3221</v>
      </c>
      <c r="D2655" s="195">
        <v>455</v>
      </c>
      <c r="E2655" s="195" t="s">
        <v>373</v>
      </c>
      <c r="F2655" s="71" t="s">
        <v>3020</v>
      </c>
      <c r="G2655" s="71" t="s">
        <v>3177</v>
      </c>
      <c r="H2655" s="71" t="s">
        <v>3064</v>
      </c>
      <c r="I2655" s="71" t="s">
        <v>371</v>
      </c>
    </row>
    <row r="2656" spans="1:9" ht="43.5" x14ac:dyDescent="0.35">
      <c r="A2656" s="195">
        <v>18</v>
      </c>
      <c r="B2656" s="195">
        <v>66</v>
      </c>
      <c r="C2656" s="195" t="s">
        <v>3219</v>
      </c>
      <c r="D2656" s="64">
        <v>340</v>
      </c>
      <c r="E2656" s="195" t="s">
        <v>373</v>
      </c>
      <c r="F2656" s="71" t="s">
        <v>2510</v>
      </c>
      <c r="G2656" s="71" t="s">
        <v>3177</v>
      </c>
      <c r="H2656" s="71" t="s">
        <v>3064</v>
      </c>
      <c r="I2656" s="71" t="s">
        <v>371</v>
      </c>
    </row>
    <row r="2657" spans="1:9" ht="29" x14ac:dyDescent="0.35">
      <c r="A2657" s="195">
        <v>18</v>
      </c>
      <c r="B2657" s="195">
        <v>66</v>
      </c>
      <c r="C2657" s="195" t="s">
        <v>3220</v>
      </c>
      <c r="D2657" s="195">
        <v>28135</v>
      </c>
      <c r="E2657" s="195" t="s">
        <v>373</v>
      </c>
      <c r="F2657" s="71" t="s">
        <v>508</v>
      </c>
      <c r="G2657" s="71" t="s">
        <v>3177</v>
      </c>
      <c r="H2657" s="71" t="s">
        <v>3062</v>
      </c>
      <c r="I2657" s="71" t="s">
        <v>371</v>
      </c>
    </row>
    <row r="2658" spans="1:9" ht="43.5" x14ac:dyDescent="0.35">
      <c r="A2658" s="195">
        <v>18</v>
      </c>
      <c r="B2658" s="195">
        <v>67</v>
      </c>
      <c r="C2658" s="195" t="s">
        <v>3223</v>
      </c>
      <c r="D2658" s="195">
        <v>370</v>
      </c>
      <c r="E2658" s="195" t="s">
        <v>373</v>
      </c>
      <c r="F2658" s="71" t="s">
        <v>3020</v>
      </c>
      <c r="G2658" s="71" t="s">
        <v>3177</v>
      </c>
      <c r="H2658" s="71" t="s">
        <v>3064</v>
      </c>
      <c r="I2658" s="71" t="s">
        <v>2805</v>
      </c>
    </row>
    <row r="2659" spans="1:9" ht="43.5" x14ac:dyDescent="0.35">
      <c r="A2659" s="195">
        <v>18</v>
      </c>
      <c r="B2659" s="195">
        <v>67</v>
      </c>
      <c r="C2659" s="195" t="s">
        <v>3224</v>
      </c>
      <c r="D2659" s="64">
        <v>305</v>
      </c>
      <c r="E2659" s="195" t="s">
        <v>373</v>
      </c>
      <c r="F2659" s="71" t="s">
        <v>2510</v>
      </c>
      <c r="G2659" s="71" t="s">
        <v>3177</v>
      </c>
      <c r="H2659" s="71" t="s">
        <v>3064</v>
      </c>
      <c r="I2659" s="71" t="s">
        <v>2805</v>
      </c>
    </row>
    <row r="2660" spans="1:9" ht="43.5" x14ac:dyDescent="0.35">
      <c r="A2660" s="195">
        <v>18</v>
      </c>
      <c r="B2660" s="195">
        <v>67</v>
      </c>
      <c r="C2660" s="195" t="s">
        <v>3222</v>
      </c>
      <c r="D2660" s="195">
        <v>18175</v>
      </c>
      <c r="E2660" s="195" t="s">
        <v>373</v>
      </c>
      <c r="F2660" s="71" t="s">
        <v>508</v>
      </c>
      <c r="G2660" s="71" t="s">
        <v>3177</v>
      </c>
      <c r="H2660" s="71" t="s">
        <v>3062</v>
      </c>
      <c r="I2660" s="71" t="s">
        <v>2805</v>
      </c>
    </row>
    <row r="2661" spans="1:9" ht="43.5" x14ac:dyDescent="0.35">
      <c r="A2661" s="195">
        <v>18</v>
      </c>
      <c r="B2661" s="195">
        <v>68</v>
      </c>
      <c r="C2661" s="195" t="s">
        <v>3226</v>
      </c>
      <c r="D2661" s="64">
        <v>905</v>
      </c>
      <c r="E2661" s="195" t="s">
        <v>373</v>
      </c>
      <c r="F2661" s="71" t="s">
        <v>3020</v>
      </c>
      <c r="G2661" s="71" t="s">
        <v>3177</v>
      </c>
      <c r="H2661" s="71" t="s">
        <v>3064</v>
      </c>
      <c r="I2661" s="71" t="s">
        <v>2827</v>
      </c>
    </row>
    <row r="2662" spans="1:9" ht="43.5" x14ac:dyDescent="0.35">
      <c r="A2662" s="195">
        <v>18</v>
      </c>
      <c r="B2662" s="195">
        <v>68</v>
      </c>
      <c r="C2662" s="195" t="s">
        <v>3225</v>
      </c>
      <c r="D2662" s="64">
        <v>470</v>
      </c>
      <c r="E2662" s="195" t="s">
        <v>373</v>
      </c>
      <c r="F2662" s="71" t="s">
        <v>2510</v>
      </c>
      <c r="G2662" s="71" t="s">
        <v>3177</v>
      </c>
      <c r="H2662" s="71" t="s">
        <v>3064</v>
      </c>
      <c r="I2662" s="71" t="s">
        <v>2827</v>
      </c>
    </row>
    <row r="2663" spans="1:9" ht="43.5" x14ac:dyDescent="0.35">
      <c r="A2663" s="195">
        <v>18</v>
      </c>
      <c r="B2663" s="195">
        <v>68</v>
      </c>
      <c r="C2663" s="195" t="s">
        <v>3227</v>
      </c>
      <c r="D2663" s="195">
        <v>25750</v>
      </c>
      <c r="E2663" s="195" t="s">
        <v>373</v>
      </c>
      <c r="F2663" s="71" t="s">
        <v>508</v>
      </c>
      <c r="G2663" s="71" t="s">
        <v>3177</v>
      </c>
      <c r="H2663" s="71" t="s">
        <v>3062</v>
      </c>
      <c r="I2663" s="71" t="s">
        <v>2827</v>
      </c>
    </row>
    <row r="2664" spans="1:9" ht="43.5" x14ac:dyDescent="0.35">
      <c r="A2664" s="195">
        <v>18</v>
      </c>
      <c r="B2664" s="195">
        <v>69</v>
      </c>
      <c r="C2664" s="195" t="s">
        <v>3230</v>
      </c>
      <c r="D2664" s="64">
        <v>985</v>
      </c>
      <c r="E2664" s="195" t="s">
        <v>373</v>
      </c>
      <c r="F2664" s="71" t="s">
        <v>3020</v>
      </c>
      <c r="G2664" s="71" t="s">
        <v>3177</v>
      </c>
      <c r="H2664" s="71" t="s">
        <v>3064</v>
      </c>
      <c r="I2664" s="71" t="s">
        <v>3035</v>
      </c>
    </row>
    <row r="2665" spans="1:9" ht="43.5" x14ac:dyDescent="0.35">
      <c r="A2665" s="195">
        <v>18</v>
      </c>
      <c r="B2665" s="195">
        <v>69</v>
      </c>
      <c r="C2665" s="195" t="s">
        <v>3228</v>
      </c>
      <c r="D2665" s="195">
        <v>400</v>
      </c>
      <c r="E2665" s="195" t="s">
        <v>373</v>
      </c>
      <c r="F2665" s="71" t="s">
        <v>2510</v>
      </c>
      <c r="G2665" s="71" t="s">
        <v>3177</v>
      </c>
      <c r="H2665" s="71" t="s">
        <v>3064</v>
      </c>
      <c r="I2665" s="71" t="s">
        <v>3035</v>
      </c>
    </row>
    <row r="2666" spans="1:9" ht="43.5" x14ac:dyDescent="0.35">
      <c r="A2666" s="195">
        <v>18</v>
      </c>
      <c r="B2666" s="195">
        <v>69</v>
      </c>
      <c r="C2666" s="195" t="s">
        <v>3229</v>
      </c>
      <c r="D2666" s="64">
        <v>12770</v>
      </c>
      <c r="E2666" s="195" t="s">
        <v>373</v>
      </c>
      <c r="F2666" s="71" t="s">
        <v>508</v>
      </c>
      <c r="G2666" s="71" t="s">
        <v>3177</v>
      </c>
      <c r="H2666" s="71" t="s">
        <v>3062</v>
      </c>
      <c r="I2666" s="71" t="s">
        <v>3035</v>
      </c>
    </row>
    <row r="2667" spans="1:9" ht="43.5" x14ac:dyDescent="0.35">
      <c r="A2667" s="195">
        <v>18</v>
      </c>
      <c r="B2667" s="195">
        <v>70</v>
      </c>
      <c r="C2667" s="195" t="s">
        <v>3232</v>
      </c>
      <c r="D2667" s="64">
        <v>8175</v>
      </c>
      <c r="E2667" s="195" t="s">
        <v>373</v>
      </c>
      <c r="F2667" s="71" t="s">
        <v>3020</v>
      </c>
      <c r="G2667" s="71" t="s">
        <v>3177</v>
      </c>
      <c r="H2667" s="71" t="s">
        <v>3064</v>
      </c>
      <c r="I2667" s="71" t="s">
        <v>415</v>
      </c>
    </row>
    <row r="2668" spans="1:9" ht="43.5" x14ac:dyDescent="0.35">
      <c r="A2668" s="195">
        <v>18</v>
      </c>
      <c r="B2668" s="195">
        <v>70</v>
      </c>
      <c r="C2668" s="195" t="s">
        <v>3233</v>
      </c>
      <c r="D2668" s="64">
        <v>1675</v>
      </c>
      <c r="E2668" s="195" t="s">
        <v>373</v>
      </c>
      <c r="F2668" s="71" t="s">
        <v>2510</v>
      </c>
      <c r="G2668" s="71" t="s">
        <v>3177</v>
      </c>
      <c r="H2668" s="71" t="s">
        <v>3064</v>
      </c>
      <c r="I2668" s="71" t="s">
        <v>415</v>
      </c>
    </row>
    <row r="2669" spans="1:9" ht="29" x14ac:dyDescent="0.35">
      <c r="A2669" s="195">
        <v>18</v>
      </c>
      <c r="B2669" s="195">
        <v>70</v>
      </c>
      <c r="C2669" s="195" t="s">
        <v>3231</v>
      </c>
      <c r="D2669" s="64">
        <v>27260</v>
      </c>
      <c r="E2669" s="195" t="s">
        <v>373</v>
      </c>
      <c r="F2669" s="71" t="s">
        <v>508</v>
      </c>
      <c r="G2669" s="71" t="s">
        <v>3177</v>
      </c>
      <c r="H2669" s="71" t="s">
        <v>3062</v>
      </c>
      <c r="I2669" s="71" t="s">
        <v>415</v>
      </c>
    </row>
    <row r="2670" spans="1:9" ht="29" x14ac:dyDescent="0.35">
      <c r="A2670" s="195">
        <v>18</v>
      </c>
      <c r="B2670" s="195">
        <v>71</v>
      </c>
      <c r="C2670" s="195" t="s">
        <v>3235</v>
      </c>
      <c r="D2670" s="64">
        <v>44715</v>
      </c>
      <c r="E2670" s="195" t="s">
        <v>366</v>
      </c>
      <c r="F2670" s="71" t="s">
        <v>3020</v>
      </c>
      <c r="G2670" s="71" t="s">
        <v>3177</v>
      </c>
      <c r="H2670" s="71" t="s">
        <v>3083</v>
      </c>
      <c r="I2670" s="71" t="s">
        <v>363</v>
      </c>
    </row>
    <row r="2671" spans="1:9" ht="29" x14ac:dyDescent="0.35">
      <c r="A2671" s="195">
        <v>18</v>
      </c>
      <c r="B2671" s="195">
        <v>71</v>
      </c>
      <c r="C2671" s="195" t="s">
        <v>3234</v>
      </c>
      <c r="D2671" s="64">
        <v>14510</v>
      </c>
      <c r="E2671" s="195" t="s">
        <v>366</v>
      </c>
      <c r="F2671" s="71" t="s">
        <v>2510</v>
      </c>
      <c r="G2671" s="71" t="s">
        <v>3177</v>
      </c>
      <c r="H2671" s="71" t="s">
        <v>3083</v>
      </c>
      <c r="I2671" s="71" t="s">
        <v>363</v>
      </c>
    </row>
    <row r="2672" spans="1:9" ht="29" x14ac:dyDescent="0.35">
      <c r="A2672" s="195">
        <v>18</v>
      </c>
      <c r="B2672" s="195">
        <v>71</v>
      </c>
      <c r="C2672" s="195" t="s">
        <v>3236</v>
      </c>
      <c r="D2672" s="64">
        <v>84245</v>
      </c>
      <c r="E2672" s="195" t="s">
        <v>366</v>
      </c>
      <c r="F2672" s="71" t="s">
        <v>508</v>
      </c>
      <c r="G2672" s="71" t="s">
        <v>3177</v>
      </c>
      <c r="H2672" s="71" t="s">
        <v>2491</v>
      </c>
      <c r="I2672" s="71" t="s">
        <v>363</v>
      </c>
    </row>
    <row r="2673" spans="1:9" ht="29" x14ac:dyDescent="0.35">
      <c r="A2673" s="195">
        <v>18</v>
      </c>
      <c r="B2673" s="195">
        <v>72</v>
      </c>
      <c r="C2673" s="195" t="s">
        <v>3237</v>
      </c>
      <c r="D2673" s="64">
        <v>1355</v>
      </c>
      <c r="E2673" s="195" t="s">
        <v>373</v>
      </c>
      <c r="F2673" s="71" t="s">
        <v>3020</v>
      </c>
      <c r="G2673" s="71" t="s">
        <v>3177</v>
      </c>
      <c r="H2673" s="71" t="s">
        <v>3083</v>
      </c>
      <c r="I2673" s="71" t="s">
        <v>371</v>
      </c>
    </row>
    <row r="2674" spans="1:9" ht="29" x14ac:dyDescent="0.35">
      <c r="A2674" s="195">
        <v>18</v>
      </c>
      <c r="B2674" s="195">
        <v>72</v>
      </c>
      <c r="C2674" s="195" t="s">
        <v>3239</v>
      </c>
      <c r="D2674" s="64">
        <v>1610</v>
      </c>
      <c r="E2674" s="195" t="s">
        <v>373</v>
      </c>
      <c r="F2674" s="71" t="s">
        <v>2510</v>
      </c>
      <c r="G2674" s="71" t="s">
        <v>3177</v>
      </c>
      <c r="H2674" s="71" t="s">
        <v>3083</v>
      </c>
      <c r="I2674" s="71" t="s">
        <v>371</v>
      </c>
    </row>
    <row r="2675" spans="1:9" ht="29" x14ac:dyDescent="0.35">
      <c r="A2675" s="195">
        <v>18</v>
      </c>
      <c r="B2675" s="195">
        <v>72</v>
      </c>
      <c r="C2675" s="195" t="s">
        <v>3238</v>
      </c>
      <c r="D2675" s="64">
        <v>9705</v>
      </c>
      <c r="E2675" s="195" t="s">
        <v>373</v>
      </c>
      <c r="F2675" s="71" t="s">
        <v>508</v>
      </c>
      <c r="G2675" s="71" t="s">
        <v>3177</v>
      </c>
      <c r="H2675" s="71" t="s">
        <v>2491</v>
      </c>
      <c r="I2675" s="71" t="s">
        <v>371</v>
      </c>
    </row>
    <row r="2676" spans="1:9" ht="43.5" x14ac:dyDescent="0.35">
      <c r="A2676" s="195">
        <v>18</v>
      </c>
      <c r="B2676" s="195">
        <v>73</v>
      </c>
      <c r="C2676" s="195" t="s">
        <v>3242</v>
      </c>
      <c r="D2676" s="64">
        <v>910</v>
      </c>
      <c r="E2676" s="195" t="s">
        <v>373</v>
      </c>
      <c r="F2676" s="71" t="s">
        <v>3020</v>
      </c>
      <c r="G2676" s="71" t="s">
        <v>3177</v>
      </c>
      <c r="H2676" s="71" t="s">
        <v>3083</v>
      </c>
      <c r="I2676" s="71" t="s">
        <v>2805</v>
      </c>
    </row>
    <row r="2677" spans="1:9" ht="43.5" x14ac:dyDescent="0.35">
      <c r="A2677" s="195">
        <v>18</v>
      </c>
      <c r="B2677" s="195">
        <v>73</v>
      </c>
      <c r="C2677" s="195" t="s">
        <v>3241</v>
      </c>
      <c r="D2677" s="64">
        <v>1045</v>
      </c>
      <c r="E2677" s="195" t="s">
        <v>373</v>
      </c>
      <c r="F2677" s="71" t="s">
        <v>2510</v>
      </c>
      <c r="G2677" s="71" t="s">
        <v>3177</v>
      </c>
      <c r="H2677" s="71" t="s">
        <v>3083</v>
      </c>
      <c r="I2677" s="71" t="s">
        <v>2805</v>
      </c>
    </row>
    <row r="2678" spans="1:9" ht="43.5" x14ac:dyDescent="0.35">
      <c r="A2678" s="195">
        <v>18</v>
      </c>
      <c r="B2678" s="195">
        <v>73</v>
      </c>
      <c r="C2678" s="195" t="s">
        <v>3240</v>
      </c>
      <c r="D2678" s="64">
        <v>4665</v>
      </c>
      <c r="E2678" s="195" t="s">
        <v>373</v>
      </c>
      <c r="F2678" s="71" t="s">
        <v>508</v>
      </c>
      <c r="G2678" s="71" t="s">
        <v>3177</v>
      </c>
      <c r="H2678" s="71" t="s">
        <v>2491</v>
      </c>
      <c r="I2678" s="71" t="s">
        <v>2805</v>
      </c>
    </row>
    <row r="2679" spans="1:9" ht="43.5" x14ac:dyDescent="0.35">
      <c r="A2679" s="195">
        <v>18</v>
      </c>
      <c r="B2679" s="195">
        <v>74</v>
      </c>
      <c r="C2679" s="195" t="s">
        <v>3243</v>
      </c>
      <c r="D2679" s="64">
        <v>1955</v>
      </c>
      <c r="E2679" s="195" t="s">
        <v>373</v>
      </c>
      <c r="F2679" s="71" t="s">
        <v>3020</v>
      </c>
      <c r="G2679" s="71" t="s">
        <v>3177</v>
      </c>
      <c r="H2679" s="71" t="s">
        <v>3083</v>
      </c>
      <c r="I2679" s="71" t="s">
        <v>2827</v>
      </c>
    </row>
    <row r="2680" spans="1:9" ht="43.5" x14ac:dyDescent="0.35">
      <c r="A2680" s="195">
        <v>18</v>
      </c>
      <c r="B2680" s="195">
        <v>74</v>
      </c>
      <c r="C2680" s="195" t="s">
        <v>3244</v>
      </c>
      <c r="D2680" s="64">
        <v>1310</v>
      </c>
      <c r="E2680" s="195" t="s">
        <v>373</v>
      </c>
      <c r="F2680" s="71" t="s">
        <v>2510</v>
      </c>
      <c r="G2680" s="71" t="s">
        <v>3177</v>
      </c>
      <c r="H2680" s="71" t="s">
        <v>3083</v>
      </c>
      <c r="I2680" s="71" t="s">
        <v>2827</v>
      </c>
    </row>
    <row r="2681" spans="1:9" ht="43.5" x14ac:dyDescent="0.35">
      <c r="A2681" s="195">
        <v>18</v>
      </c>
      <c r="B2681" s="195">
        <v>74</v>
      </c>
      <c r="C2681" s="195" t="s">
        <v>3245</v>
      </c>
      <c r="D2681" s="64">
        <v>7835</v>
      </c>
      <c r="E2681" s="195" t="s">
        <v>373</v>
      </c>
      <c r="F2681" s="71" t="s">
        <v>508</v>
      </c>
      <c r="G2681" s="71" t="s">
        <v>3177</v>
      </c>
      <c r="H2681" s="71" t="s">
        <v>2491</v>
      </c>
      <c r="I2681" s="71" t="s">
        <v>2827</v>
      </c>
    </row>
    <row r="2682" spans="1:9" ht="43.5" x14ac:dyDescent="0.35">
      <c r="A2682" s="195">
        <v>18</v>
      </c>
      <c r="B2682" s="195">
        <v>75</v>
      </c>
      <c r="C2682" s="195" t="s">
        <v>3247</v>
      </c>
      <c r="D2682" s="64">
        <v>1920</v>
      </c>
      <c r="E2682" s="195" t="s">
        <v>373</v>
      </c>
      <c r="F2682" s="71" t="s">
        <v>3020</v>
      </c>
      <c r="G2682" s="71" t="s">
        <v>3177</v>
      </c>
      <c r="H2682" s="71" t="s">
        <v>3083</v>
      </c>
      <c r="I2682" s="71" t="s">
        <v>3035</v>
      </c>
    </row>
    <row r="2683" spans="1:9" ht="43.5" x14ac:dyDescent="0.35">
      <c r="A2683" s="195">
        <v>18</v>
      </c>
      <c r="B2683" s="195">
        <v>75</v>
      </c>
      <c r="C2683" s="195" t="s">
        <v>3248</v>
      </c>
      <c r="D2683" s="64">
        <v>920</v>
      </c>
      <c r="E2683" s="195" t="s">
        <v>373</v>
      </c>
      <c r="F2683" s="71" t="s">
        <v>2510</v>
      </c>
      <c r="G2683" s="71" t="s">
        <v>3177</v>
      </c>
      <c r="H2683" s="71" t="s">
        <v>3083</v>
      </c>
      <c r="I2683" s="71" t="s">
        <v>3035</v>
      </c>
    </row>
    <row r="2684" spans="1:9" ht="43.5" x14ac:dyDescent="0.35">
      <c r="A2684" s="195">
        <v>18</v>
      </c>
      <c r="B2684" s="195">
        <v>75</v>
      </c>
      <c r="C2684" s="195" t="s">
        <v>3246</v>
      </c>
      <c r="D2684" s="64">
        <v>7860</v>
      </c>
      <c r="E2684" s="195" t="s">
        <v>373</v>
      </c>
      <c r="F2684" s="71" t="s">
        <v>508</v>
      </c>
      <c r="G2684" s="71" t="s">
        <v>3177</v>
      </c>
      <c r="H2684" s="71" t="s">
        <v>2491</v>
      </c>
      <c r="I2684" s="71" t="s">
        <v>3035</v>
      </c>
    </row>
    <row r="2685" spans="1:9" ht="29" x14ac:dyDescent="0.35">
      <c r="A2685" s="195">
        <v>18</v>
      </c>
      <c r="B2685" s="195">
        <v>76</v>
      </c>
      <c r="C2685" s="195" t="s">
        <v>3249</v>
      </c>
      <c r="D2685" s="64">
        <v>38570</v>
      </c>
      <c r="E2685" s="195" t="s">
        <v>373</v>
      </c>
      <c r="F2685" s="71" t="s">
        <v>3020</v>
      </c>
      <c r="G2685" s="71" t="s">
        <v>3177</v>
      </c>
      <c r="H2685" s="71" t="s">
        <v>3083</v>
      </c>
      <c r="I2685" s="71" t="s">
        <v>415</v>
      </c>
    </row>
    <row r="2686" spans="1:9" ht="29" x14ac:dyDescent="0.35">
      <c r="A2686" s="195">
        <v>18</v>
      </c>
      <c r="B2686" s="195">
        <v>76</v>
      </c>
      <c r="C2686" s="195" t="s">
        <v>3251</v>
      </c>
      <c r="D2686" s="64">
        <v>9625</v>
      </c>
      <c r="E2686" s="195" t="s">
        <v>373</v>
      </c>
      <c r="F2686" s="71" t="s">
        <v>2510</v>
      </c>
      <c r="G2686" s="71" t="s">
        <v>3177</v>
      </c>
      <c r="H2686" s="71" t="s">
        <v>3083</v>
      </c>
      <c r="I2686" s="71" t="s">
        <v>415</v>
      </c>
    </row>
    <row r="2687" spans="1:9" ht="29" x14ac:dyDescent="0.35">
      <c r="A2687" s="195">
        <v>18</v>
      </c>
      <c r="B2687" s="195">
        <v>76</v>
      </c>
      <c r="C2687" s="195" t="s">
        <v>3250</v>
      </c>
      <c r="D2687" s="64">
        <v>54185</v>
      </c>
      <c r="E2687" s="195" t="s">
        <v>373</v>
      </c>
      <c r="F2687" s="71" t="s">
        <v>508</v>
      </c>
      <c r="G2687" s="71" t="s">
        <v>3177</v>
      </c>
      <c r="H2687" s="71" t="s">
        <v>2491</v>
      </c>
      <c r="I2687" s="71" t="s">
        <v>415</v>
      </c>
    </row>
    <row r="2688" spans="1:9" ht="29" x14ac:dyDescent="0.35">
      <c r="A2688" s="195">
        <v>18</v>
      </c>
      <c r="B2688" s="195">
        <v>77</v>
      </c>
      <c r="C2688" s="195" t="s">
        <v>3255</v>
      </c>
      <c r="D2688" s="64">
        <v>430</v>
      </c>
      <c r="E2688" s="195" t="s">
        <v>366</v>
      </c>
      <c r="F2688" s="71" t="s">
        <v>3020</v>
      </c>
      <c r="G2688" s="71" t="s">
        <v>3253</v>
      </c>
      <c r="H2688" s="71" t="s">
        <v>2502</v>
      </c>
      <c r="I2688" s="71" t="s">
        <v>363</v>
      </c>
    </row>
    <row r="2689" spans="1:9" ht="29" x14ac:dyDescent="0.35">
      <c r="A2689" s="195">
        <v>18</v>
      </c>
      <c r="B2689" s="195">
        <v>77</v>
      </c>
      <c r="C2689" s="195" t="s">
        <v>3254</v>
      </c>
      <c r="D2689" s="64">
        <v>575</v>
      </c>
      <c r="E2689" s="195" t="s">
        <v>366</v>
      </c>
      <c r="F2689" s="71" t="s">
        <v>2510</v>
      </c>
      <c r="G2689" s="71" t="s">
        <v>3253</v>
      </c>
      <c r="H2689" s="71" t="s">
        <v>2502</v>
      </c>
      <c r="I2689" s="71" t="s">
        <v>363</v>
      </c>
    </row>
    <row r="2690" spans="1:9" ht="29" x14ac:dyDescent="0.35">
      <c r="A2690" s="195">
        <v>18</v>
      </c>
      <c r="B2690" s="195">
        <v>77</v>
      </c>
      <c r="C2690" s="195" t="s">
        <v>3252</v>
      </c>
      <c r="D2690" s="64">
        <v>990</v>
      </c>
      <c r="E2690" s="195" t="s">
        <v>366</v>
      </c>
      <c r="F2690" s="71" t="s">
        <v>508</v>
      </c>
      <c r="G2690" s="71" t="s">
        <v>3253</v>
      </c>
      <c r="H2690" s="71" t="s">
        <v>2446</v>
      </c>
      <c r="I2690" s="71" t="s">
        <v>363</v>
      </c>
    </row>
    <row r="2691" spans="1:9" ht="29" x14ac:dyDescent="0.35">
      <c r="A2691" s="195">
        <v>18</v>
      </c>
      <c r="B2691" s="195">
        <v>78</v>
      </c>
      <c r="C2691" s="195" t="s">
        <v>3256</v>
      </c>
      <c r="D2691" s="64">
        <v>310</v>
      </c>
      <c r="E2691" s="195" t="s">
        <v>366</v>
      </c>
      <c r="F2691" s="71" t="s">
        <v>3020</v>
      </c>
      <c r="G2691" s="71" t="s">
        <v>3253</v>
      </c>
      <c r="H2691" s="71" t="s">
        <v>3022</v>
      </c>
      <c r="I2691" s="71" t="s">
        <v>363</v>
      </c>
    </row>
    <row r="2692" spans="1:9" ht="29" x14ac:dyDescent="0.35">
      <c r="A2692" s="195">
        <v>18</v>
      </c>
      <c r="B2692" s="195">
        <v>78</v>
      </c>
      <c r="C2692" s="195" t="s">
        <v>3258</v>
      </c>
      <c r="D2692" s="64">
        <v>485</v>
      </c>
      <c r="E2692" s="195" t="s">
        <v>366</v>
      </c>
      <c r="F2692" s="71" t="s">
        <v>2510</v>
      </c>
      <c r="G2692" s="71" t="s">
        <v>3253</v>
      </c>
      <c r="H2692" s="71" t="s">
        <v>3022</v>
      </c>
      <c r="I2692" s="71" t="s">
        <v>363</v>
      </c>
    </row>
    <row r="2693" spans="1:9" ht="29" x14ac:dyDescent="0.35">
      <c r="A2693" s="195">
        <v>18</v>
      </c>
      <c r="B2693" s="195">
        <v>78</v>
      </c>
      <c r="C2693" s="195" t="s">
        <v>3257</v>
      </c>
      <c r="D2693" s="195">
        <v>365</v>
      </c>
      <c r="E2693" s="195" t="s">
        <v>366</v>
      </c>
      <c r="F2693" s="71" t="s">
        <v>508</v>
      </c>
      <c r="G2693" s="71" t="s">
        <v>3253</v>
      </c>
      <c r="H2693" s="71" t="s">
        <v>2456</v>
      </c>
      <c r="I2693" s="71" t="s">
        <v>363</v>
      </c>
    </row>
    <row r="2694" spans="1:9" ht="29" x14ac:dyDescent="0.35">
      <c r="A2694" s="195">
        <v>18</v>
      </c>
      <c r="B2694" s="195">
        <v>79</v>
      </c>
      <c r="C2694" s="195" t="s">
        <v>3259</v>
      </c>
      <c r="D2694" s="195">
        <v>95</v>
      </c>
      <c r="E2694" s="195" t="s">
        <v>373</v>
      </c>
      <c r="F2694" s="71" t="s">
        <v>3020</v>
      </c>
      <c r="G2694" s="71" t="s">
        <v>3253</v>
      </c>
      <c r="H2694" s="71" t="s">
        <v>3022</v>
      </c>
      <c r="I2694" s="71" t="s">
        <v>371</v>
      </c>
    </row>
    <row r="2695" spans="1:9" ht="29" x14ac:dyDescent="0.35">
      <c r="A2695" s="195">
        <v>18</v>
      </c>
      <c r="B2695" s="195">
        <v>79</v>
      </c>
      <c r="C2695" s="195" t="s">
        <v>3261</v>
      </c>
      <c r="D2695" s="64">
        <v>135</v>
      </c>
      <c r="E2695" s="195" t="s">
        <v>373</v>
      </c>
      <c r="F2695" s="71" t="s">
        <v>2510</v>
      </c>
      <c r="G2695" s="71" t="s">
        <v>3253</v>
      </c>
      <c r="H2695" s="71" t="s">
        <v>3022</v>
      </c>
      <c r="I2695" s="71" t="s">
        <v>371</v>
      </c>
    </row>
    <row r="2696" spans="1:9" ht="29" x14ac:dyDescent="0.35">
      <c r="A2696" s="195">
        <v>18</v>
      </c>
      <c r="B2696" s="195">
        <v>79</v>
      </c>
      <c r="C2696" s="195" t="s">
        <v>3260</v>
      </c>
      <c r="D2696" s="195">
        <v>275</v>
      </c>
      <c r="E2696" s="195" t="s">
        <v>373</v>
      </c>
      <c r="F2696" s="71" t="s">
        <v>508</v>
      </c>
      <c r="G2696" s="71" t="s">
        <v>3253</v>
      </c>
      <c r="H2696" s="71" t="s">
        <v>2456</v>
      </c>
      <c r="I2696" s="71" t="s">
        <v>371</v>
      </c>
    </row>
    <row r="2697" spans="1:9" ht="43.5" x14ac:dyDescent="0.35">
      <c r="A2697" s="195">
        <v>18</v>
      </c>
      <c r="B2697" s="195">
        <v>80</v>
      </c>
      <c r="C2697" s="195" t="s">
        <v>3262</v>
      </c>
      <c r="D2697" s="195">
        <v>65</v>
      </c>
      <c r="E2697" s="195" t="s">
        <v>373</v>
      </c>
      <c r="F2697" s="71" t="s">
        <v>3020</v>
      </c>
      <c r="G2697" s="71" t="s">
        <v>3253</v>
      </c>
      <c r="H2697" s="71" t="s">
        <v>3022</v>
      </c>
      <c r="I2697" s="71" t="s">
        <v>2805</v>
      </c>
    </row>
    <row r="2698" spans="1:9" ht="43.5" x14ac:dyDescent="0.35">
      <c r="A2698" s="195">
        <v>18</v>
      </c>
      <c r="B2698" s="195">
        <v>80</v>
      </c>
      <c r="C2698" s="195" t="s">
        <v>3263</v>
      </c>
      <c r="D2698" s="64">
        <v>105</v>
      </c>
      <c r="E2698" s="195" t="s">
        <v>373</v>
      </c>
      <c r="F2698" s="71" t="s">
        <v>2510</v>
      </c>
      <c r="G2698" s="71" t="s">
        <v>3253</v>
      </c>
      <c r="H2698" s="71" t="s">
        <v>3022</v>
      </c>
      <c r="I2698" s="71" t="s">
        <v>2805</v>
      </c>
    </row>
    <row r="2699" spans="1:9" ht="43.5" x14ac:dyDescent="0.35">
      <c r="A2699" s="195">
        <v>18</v>
      </c>
      <c r="B2699" s="195">
        <v>80</v>
      </c>
      <c r="C2699" s="195" t="s">
        <v>3264</v>
      </c>
      <c r="D2699" s="195">
        <v>50</v>
      </c>
      <c r="E2699" s="195" t="s">
        <v>373</v>
      </c>
      <c r="F2699" s="71" t="s">
        <v>508</v>
      </c>
      <c r="G2699" s="71" t="s">
        <v>3253</v>
      </c>
      <c r="H2699" s="71" t="s">
        <v>2456</v>
      </c>
      <c r="I2699" s="71" t="s">
        <v>2805</v>
      </c>
    </row>
    <row r="2700" spans="1:9" ht="43.5" x14ac:dyDescent="0.35">
      <c r="A2700" s="195">
        <v>18</v>
      </c>
      <c r="B2700" s="195">
        <v>81</v>
      </c>
      <c r="C2700" s="195" t="s">
        <v>3267</v>
      </c>
      <c r="D2700" s="195">
        <v>40</v>
      </c>
      <c r="E2700" s="195" t="s">
        <v>373</v>
      </c>
      <c r="F2700" s="71" t="s">
        <v>3020</v>
      </c>
      <c r="G2700" s="71" t="s">
        <v>3253</v>
      </c>
      <c r="H2700" s="71" t="s">
        <v>3022</v>
      </c>
      <c r="I2700" s="71" t="s">
        <v>2827</v>
      </c>
    </row>
    <row r="2701" spans="1:9" ht="43.5" x14ac:dyDescent="0.35">
      <c r="A2701" s="195">
        <v>18</v>
      </c>
      <c r="B2701" s="195">
        <v>81</v>
      </c>
      <c r="C2701" s="195" t="s">
        <v>3265</v>
      </c>
      <c r="D2701" s="195">
        <v>105</v>
      </c>
      <c r="E2701" s="195" t="s">
        <v>373</v>
      </c>
      <c r="F2701" s="71" t="s">
        <v>2510</v>
      </c>
      <c r="G2701" s="71" t="s">
        <v>3253</v>
      </c>
      <c r="H2701" s="71" t="s">
        <v>3022</v>
      </c>
      <c r="I2701" s="71" t="s">
        <v>2827</v>
      </c>
    </row>
    <row r="2702" spans="1:9" ht="43.5" x14ac:dyDescent="0.35">
      <c r="A2702" s="195">
        <v>18</v>
      </c>
      <c r="B2702" s="195">
        <v>81</v>
      </c>
      <c r="C2702" s="195" t="s">
        <v>3266</v>
      </c>
      <c r="D2702" s="64">
        <v>10</v>
      </c>
      <c r="E2702" s="195" t="s">
        <v>373</v>
      </c>
      <c r="F2702" s="71" t="s">
        <v>508</v>
      </c>
      <c r="G2702" s="71" t="s">
        <v>3253</v>
      </c>
      <c r="H2702" s="71" t="s">
        <v>2456</v>
      </c>
      <c r="I2702" s="71" t="s">
        <v>2827</v>
      </c>
    </row>
    <row r="2703" spans="1:9" ht="43.5" x14ac:dyDescent="0.35">
      <c r="A2703" s="195">
        <v>18</v>
      </c>
      <c r="B2703" s="195">
        <v>82</v>
      </c>
      <c r="C2703" s="195" t="s">
        <v>3270</v>
      </c>
      <c r="D2703" s="195">
        <v>4</v>
      </c>
      <c r="E2703" s="195" t="s">
        <v>373</v>
      </c>
      <c r="F2703" s="71" t="s">
        <v>3020</v>
      </c>
      <c r="G2703" s="71" t="s">
        <v>3253</v>
      </c>
      <c r="H2703" s="71" t="s">
        <v>3022</v>
      </c>
      <c r="I2703" s="71" t="s">
        <v>3035</v>
      </c>
    </row>
    <row r="2704" spans="1:9" ht="43.5" x14ac:dyDescent="0.35">
      <c r="A2704" s="195">
        <v>18</v>
      </c>
      <c r="B2704" s="195">
        <v>82</v>
      </c>
      <c r="C2704" s="195" t="s">
        <v>3269</v>
      </c>
      <c r="D2704" s="195">
        <v>50</v>
      </c>
      <c r="E2704" s="195" t="s">
        <v>373</v>
      </c>
      <c r="F2704" s="71" t="s">
        <v>2510</v>
      </c>
      <c r="G2704" s="71" t="s">
        <v>3253</v>
      </c>
      <c r="H2704" s="71" t="s">
        <v>3022</v>
      </c>
      <c r="I2704" s="71" t="s">
        <v>3035</v>
      </c>
    </row>
    <row r="2705" spans="1:9" ht="43.5" x14ac:dyDescent="0.35">
      <c r="A2705" s="195">
        <v>18</v>
      </c>
      <c r="B2705" s="195">
        <v>82</v>
      </c>
      <c r="C2705" s="195" t="s">
        <v>3268</v>
      </c>
      <c r="D2705" s="195">
        <v>0</v>
      </c>
      <c r="E2705" s="195" t="s">
        <v>373</v>
      </c>
      <c r="F2705" s="71" t="s">
        <v>508</v>
      </c>
      <c r="G2705" s="71" t="s">
        <v>3253</v>
      </c>
      <c r="H2705" s="71" t="s">
        <v>2456</v>
      </c>
      <c r="I2705" s="71" t="s">
        <v>3035</v>
      </c>
    </row>
    <row r="2706" spans="1:9" ht="29" x14ac:dyDescent="0.35">
      <c r="A2706" s="195">
        <v>18</v>
      </c>
      <c r="B2706" s="195">
        <v>83</v>
      </c>
      <c r="C2706" s="195" t="s">
        <v>3271</v>
      </c>
      <c r="D2706" s="195">
        <v>105</v>
      </c>
      <c r="E2706" s="195" t="s">
        <v>373</v>
      </c>
      <c r="F2706" s="71" t="s">
        <v>3020</v>
      </c>
      <c r="G2706" s="71" t="s">
        <v>3253</v>
      </c>
      <c r="H2706" s="71" t="s">
        <v>3022</v>
      </c>
      <c r="I2706" s="71" t="s">
        <v>415</v>
      </c>
    </row>
    <row r="2707" spans="1:9" ht="29" x14ac:dyDescent="0.35">
      <c r="A2707" s="195">
        <v>18</v>
      </c>
      <c r="B2707" s="195">
        <v>83</v>
      </c>
      <c r="C2707" s="195" t="s">
        <v>3272</v>
      </c>
      <c r="D2707" s="195">
        <v>95</v>
      </c>
      <c r="E2707" s="195" t="s">
        <v>373</v>
      </c>
      <c r="F2707" s="71" t="s">
        <v>2510</v>
      </c>
      <c r="G2707" s="71" t="s">
        <v>3253</v>
      </c>
      <c r="H2707" s="71" t="s">
        <v>3022</v>
      </c>
      <c r="I2707" s="71" t="s">
        <v>415</v>
      </c>
    </row>
    <row r="2708" spans="1:9" ht="29" x14ac:dyDescent="0.35">
      <c r="A2708" s="195">
        <v>18</v>
      </c>
      <c r="B2708" s="195">
        <v>83</v>
      </c>
      <c r="C2708" s="195" t="s">
        <v>3273</v>
      </c>
      <c r="D2708" s="195">
        <v>25</v>
      </c>
      <c r="E2708" s="195" t="s">
        <v>373</v>
      </c>
      <c r="F2708" s="71" t="s">
        <v>508</v>
      </c>
      <c r="G2708" s="71" t="s">
        <v>3253</v>
      </c>
      <c r="H2708" s="71" t="s">
        <v>2456</v>
      </c>
      <c r="I2708" s="71" t="s">
        <v>415</v>
      </c>
    </row>
    <row r="2709" spans="1:9" ht="43.5" x14ac:dyDescent="0.35">
      <c r="A2709" s="195">
        <v>18</v>
      </c>
      <c r="B2709" s="195">
        <v>84</v>
      </c>
      <c r="C2709" s="195" t="s">
        <v>3274</v>
      </c>
      <c r="D2709" s="64">
        <v>30</v>
      </c>
      <c r="E2709" s="195" t="s">
        <v>366</v>
      </c>
      <c r="F2709" s="71" t="s">
        <v>3020</v>
      </c>
      <c r="G2709" s="71" t="s">
        <v>3253</v>
      </c>
      <c r="H2709" s="71" t="s">
        <v>3044</v>
      </c>
      <c r="I2709" s="71" t="s">
        <v>363</v>
      </c>
    </row>
    <row r="2710" spans="1:9" ht="43.5" x14ac:dyDescent="0.35">
      <c r="A2710" s="195">
        <v>18</v>
      </c>
      <c r="B2710" s="195">
        <v>84</v>
      </c>
      <c r="C2710" s="195" t="s">
        <v>3276</v>
      </c>
      <c r="D2710" s="195">
        <v>55</v>
      </c>
      <c r="E2710" s="195" t="s">
        <v>366</v>
      </c>
      <c r="F2710" s="71" t="s">
        <v>2510</v>
      </c>
      <c r="G2710" s="71" t="s">
        <v>3253</v>
      </c>
      <c r="H2710" s="71" t="s">
        <v>3044</v>
      </c>
      <c r="I2710" s="71" t="s">
        <v>363</v>
      </c>
    </row>
    <row r="2711" spans="1:9" ht="29" x14ac:dyDescent="0.35">
      <c r="A2711" s="195">
        <v>18</v>
      </c>
      <c r="B2711" s="195">
        <v>84</v>
      </c>
      <c r="C2711" s="195" t="s">
        <v>3275</v>
      </c>
      <c r="D2711" s="195">
        <v>415</v>
      </c>
      <c r="E2711" s="195" t="s">
        <v>366</v>
      </c>
      <c r="F2711" s="71" t="s">
        <v>508</v>
      </c>
      <c r="G2711" s="71" t="s">
        <v>3253</v>
      </c>
      <c r="H2711" s="71" t="s">
        <v>3042</v>
      </c>
      <c r="I2711" s="71" t="s">
        <v>363</v>
      </c>
    </row>
    <row r="2712" spans="1:9" ht="43.5" x14ac:dyDescent="0.35">
      <c r="A2712" s="195">
        <v>18</v>
      </c>
      <c r="B2712" s="195">
        <v>85</v>
      </c>
      <c r="C2712" s="195" t="s">
        <v>3277</v>
      </c>
      <c r="D2712" s="195">
        <v>0</v>
      </c>
      <c r="E2712" s="195" t="s">
        <v>373</v>
      </c>
      <c r="F2712" s="71" t="s">
        <v>3020</v>
      </c>
      <c r="G2712" s="71" t="s">
        <v>3253</v>
      </c>
      <c r="H2712" s="71" t="s">
        <v>3044</v>
      </c>
      <c r="I2712" s="71" t="s">
        <v>371</v>
      </c>
    </row>
    <row r="2713" spans="1:9" ht="43.5" x14ac:dyDescent="0.35">
      <c r="A2713" s="195">
        <v>18</v>
      </c>
      <c r="B2713" s="195">
        <v>85</v>
      </c>
      <c r="C2713" s="195" t="s">
        <v>3278</v>
      </c>
      <c r="D2713" s="195">
        <v>15</v>
      </c>
      <c r="E2713" s="195" t="s">
        <v>373</v>
      </c>
      <c r="F2713" s="71" t="s">
        <v>2510</v>
      </c>
      <c r="G2713" s="71" t="s">
        <v>3253</v>
      </c>
      <c r="H2713" s="71" t="s">
        <v>3044</v>
      </c>
      <c r="I2713" s="71" t="s">
        <v>371</v>
      </c>
    </row>
    <row r="2714" spans="1:9" ht="29" x14ac:dyDescent="0.35">
      <c r="A2714" s="195">
        <v>18</v>
      </c>
      <c r="B2714" s="195">
        <v>85</v>
      </c>
      <c r="C2714" s="195" t="s">
        <v>3279</v>
      </c>
      <c r="D2714" s="195">
        <v>160</v>
      </c>
      <c r="E2714" s="195" t="s">
        <v>373</v>
      </c>
      <c r="F2714" s="71" t="s">
        <v>508</v>
      </c>
      <c r="G2714" s="71" t="s">
        <v>3253</v>
      </c>
      <c r="H2714" s="71" t="s">
        <v>3042</v>
      </c>
      <c r="I2714" s="71" t="s">
        <v>371</v>
      </c>
    </row>
    <row r="2715" spans="1:9" ht="43.5" x14ac:dyDescent="0.35">
      <c r="A2715" s="195">
        <v>18</v>
      </c>
      <c r="B2715" s="195">
        <v>86</v>
      </c>
      <c r="C2715" s="195" t="s">
        <v>3281</v>
      </c>
      <c r="D2715" s="195">
        <v>0</v>
      </c>
      <c r="E2715" s="195" t="s">
        <v>373</v>
      </c>
      <c r="F2715" s="71" t="s">
        <v>3020</v>
      </c>
      <c r="G2715" s="71" t="s">
        <v>3253</v>
      </c>
      <c r="H2715" s="71" t="s">
        <v>3044</v>
      </c>
      <c r="I2715" s="71" t="s">
        <v>2805</v>
      </c>
    </row>
    <row r="2716" spans="1:9" ht="43.5" x14ac:dyDescent="0.35">
      <c r="A2716" s="195">
        <v>18</v>
      </c>
      <c r="B2716" s="195">
        <v>86</v>
      </c>
      <c r="C2716" s="195" t="s">
        <v>3280</v>
      </c>
      <c r="D2716" s="195">
        <v>0</v>
      </c>
      <c r="E2716" s="195" t="s">
        <v>373</v>
      </c>
      <c r="F2716" s="71" t="s">
        <v>2510</v>
      </c>
      <c r="G2716" s="71" t="s">
        <v>3253</v>
      </c>
      <c r="H2716" s="71" t="s">
        <v>3044</v>
      </c>
      <c r="I2716" s="71" t="s">
        <v>2805</v>
      </c>
    </row>
    <row r="2717" spans="1:9" ht="43.5" x14ac:dyDescent="0.35">
      <c r="A2717" s="195">
        <v>18</v>
      </c>
      <c r="B2717" s="195">
        <v>86</v>
      </c>
      <c r="C2717" s="195" t="s">
        <v>3282</v>
      </c>
      <c r="D2717" s="195">
        <v>30</v>
      </c>
      <c r="E2717" s="195" t="s">
        <v>373</v>
      </c>
      <c r="F2717" s="71" t="s">
        <v>508</v>
      </c>
      <c r="G2717" s="71" t="s">
        <v>3253</v>
      </c>
      <c r="H2717" s="71" t="s">
        <v>3042</v>
      </c>
      <c r="I2717" s="71" t="s">
        <v>2805</v>
      </c>
    </row>
    <row r="2718" spans="1:9" ht="43.5" x14ac:dyDescent="0.35">
      <c r="A2718" s="195">
        <v>18</v>
      </c>
      <c r="B2718" s="195">
        <v>87</v>
      </c>
      <c r="C2718" s="195" t="s">
        <v>3284</v>
      </c>
      <c r="D2718" s="195">
        <v>0</v>
      </c>
      <c r="E2718" s="195" t="s">
        <v>373</v>
      </c>
      <c r="F2718" s="71" t="s">
        <v>3020</v>
      </c>
      <c r="G2718" s="71" t="s">
        <v>3253</v>
      </c>
      <c r="H2718" s="71" t="s">
        <v>3044</v>
      </c>
      <c r="I2718" s="71" t="s">
        <v>2827</v>
      </c>
    </row>
    <row r="2719" spans="1:9" ht="43.5" x14ac:dyDescent="0.35">
      <c r="A2719" s="195">
        <v>18</v>
      </c>
      <c r="B2719" s="195">
        <v>87</v>
      </c>
      <c r="C2719" s="195" t="s">
        <v>3283</v>
      </c>
      <c r="D2719" s="195">
        <v>10</v>
      </c>
      <c r="E2719" s="195" t="s">
        <v>373</v>
      </c>
      <c r="F2719" s="71" t="s">
        <v>2510</v>
      </c>
      <c r="G2719" s="71" t="s">
        <v>3253</v>
      </c>
      <c r="H2719" s="71" t="s">
        <v>3044</v>
      </c>
      <c r="I2719" s="71" t="s">
        <v>2827</v>
      </c>
    </row>
    <row r="2720" spans="1:9" ht="43.5" x14ac:dyDescent="0.35">
      <c r="A2720" s="195">
        <v>18</v>
      </c>
      <c r="B2720" s="195">
        <v>87</v>
      </c>
      <c r="C2720" s="195" t="s">
        <v>3285</v>
      </c>
      <c r="D2720" s="195">
        <v>110</v>
      </c>
      <c r="E2720" s="195" t="s">
        <v>373</v>
      </c>
      <c r="F2720" s="71" t="s">
        <v>508</v>
      </c>
      <c r="G2720" s="71" t="s">
        <v>3253</v>
      </c>
      <c r="H2720" s="71" t="s">
        <v>3042</v>
      </c>
      <c r="I2720" s="71" t="s">
        <v>2827</v>
      </c>
    </row>
    <row r="2721" spans="1:9" ht="43.5" x14ac:dyDescent="0.35">
      <c r="A2721" s="195">
        <v>18</v>
      </c>
      <c r="B2721" s="195">
        <v>88</v>
      </c>
      <c r="C2721" s="195" t="s">
        <v>3287</v>
      </c>
      <c r="D2721" s="195">
        <v>10</v>
      </c>
      <c r="E2721" s="195" t="s">
        <v>373</v>
      </c>
      <c r="F2721" s="71" t="s">
        <v>3020</v>
      </c>
      <c r="G2721" s="71" t="s">
        <v>3253</v>
      </c>
      <c r="H2721" s="71" t="s">
        <v>3044</v>
      </c>
      <c r="I2721" s="71" t="s">
        <v>3035</v>
      </c>
    </row>
    <row r="2722" spans="1:9" ht="43.5" x14ac:dyDescent="0.35">
      <c r="A2722" s="195">
        <v>18</v>
      </c>
      <c r="B2722" s="195">
        <v>88</v>
      </c>
      <c r="C2722" s="195" t="s">
        <v>3286</v>
      </c>
      <c r="D2722" s="195">
        <v>20</v>
      </c>
      <c r="E2722" s="195" t="s">
        <v>373</v>
      </c>
      <c r="F2722" s="71" t="s">
        <v>2510</v>
      </c>
      <c r="G2722" s="71" t="s">
        <v>3253</v>
      </c>
      <c r="H2722" s="71" t="s">
        <v>3044</v>
      </c>
      <c r="I2722" s="71" t="s">
        <v>3035</v>
      </c>
    </row>
    <row r="2723" spans="1:9" ht="43.5" x14ac:dyDescent="0.35">
      <c r="A2723" s="195">
        <v>18</v>
      </c>
      <c r="B2723" s="195">
        <v>88</v>
      </c>
      <c r="C2723" s="195" t="s">
        <v>3288</v>
      </c>
      <c r="D2723" s="195">
        <v>40</v>
      </c>
      <c r="E2723" s="195" t="s">
        <v>373</v>
      </c>
      <c r="F2723" s="71" t="s">
        <v>508</v>
      </c>
      <c r="G2723" s="71" t="s">
        <v>3253</v>
      </c>
      <c r="H2723" s="71" t="s">
        <v>3042</v>
      </c>
      <c r="I2723" s="71" t="s">
        <v>3035</v>
      </c>
    </row>
    <row r="2724" spans="1:9" ht="43.5" x14ac:dyDescent="0.35">
      <c r="A2724" s="195">
        <v>18</v>
      </c>
      <c r="B2724" s="195">
        <v>89</v>
      </c>
      <c r="C2724" s="195" t="s">
        <v>3290</v>
      </c>
      <c r="D2724" s="195">
        <v>20</v>
      </c>
      <c r="E2724" s="195" t="s">
        <v>373</v>
      </c>
      <c r="F2724" s="71" t="s">
        <v>3020</v>
      </c>
      <c r="G2724" s="71" t="s">
        <v>3253</v>
      </c>
      <c r="H2724" s="71" t="s">
        <v>3044</v>
      </c>
      <c r="I2724" s="71" t="s">
        <v>415</v>
      </c>
    </row>
    <row r="2725" spans="1:9" ht="43.5" x14ac:dyDescent="0.35">
      <c r="A2725" s="195">
        <v>18</v>
      </c>
      <c r="B2725" s="195">
        <v>89</v>
      </c>
      <c r="C2725" s="195" t="s">
        <v>3291</v>
      </c>
      <c r="D2725" s="195">
        <v>15</v>
      </c>
      <c r="E2725" s="195" t="s">
        <v>373</v>
      </c>
      <c r="F2725" s="71" t="s">
        <v>2510</v>
      </c>
      <c r="G2725" s="71" t="s">
        <v>3253</v>
      </c>
      <c r="H2725" s="71" t="s">
        <v>3044</v>
      </c>
      <c r="I2725" s="71" t="s">
        <v>415</v>
      </c>
    </row>
    <row r="2726" spans="1:9" ht="29" x14ac:dyDescent="0.35">
      <c r="A2726" s="195">
        <v>18</v>
      </c>
      <c r="B2726" s="195">
        <v>89</v>
      </c>
      <c r="C2726" s="195" t="s">
        <v>3289</v>
      </c>
      <c r="D2726" s="195">
        <v>65</v>
      </c>
      <c r="E2726" s="195" t="s">
        <v>373</v>
      </c>
      <c r="F2726" s="71" t="s">
        <v>508</v>
      </c>
      <c r="G2726" s="71" t="s">
        <v>3253</v>
      </c>
      <c r="H2726" s="71" t="s">
        <v>3042</v>
      </c>
      <c r="I2726" s="71" t="s">
        <v>415</v>
      </c>
    </row>
    <row r="2727" spans="1:9" ht="43.5" x14ac:dyDescent="0.35">
      <c r="A2727" s="195">
        <v>18</v>
      </c>
      <c r="B2727" s="195">
        <v>90</v>
      </c>
      <c r="C2727" s="195" t="s">
        <v>3292</v>
      </c>
      <c r="D2727" s="64">
        <v>55</v>
      </c>
      <c r="E2727" s="195" t="s">
        <v>366</v>
      </c>
      <c r="F2727" s="71" t="s">
        <v>3020</v>
      </c>
      <c r="G2727" s="71" t="s">
        <v>3253</v>
      </c>
      <c r="H2727" s="71" t="s">
        <v>3064</v>
      </c>
      <c r="I2727" s="71" t="s">
        <v>363</v>
      </c>
    </row>
    <row r="2728" spans="1:9" ht="43.5" x14ac:dyDescent="0.35">
      <c r="A2728" s="195">
        <v>18</v>
      </c>
      <c r="B2728" s="195">
        <v>90</v>
      </c>
      <c r="C2728" s="195" t="s">
        <v>3293</v>
      </c>
      <c r="D2728" s="195">
        <v>10</v>
      </c>
      <c r="E2728" s="195" t="s">
        <v>366</v>
      </c>
      <c r="F2728" s="71" t="s">
        <v>2510</v>
      </c>
      <c r="G2728" s="71" t="s">
        <v>3253</v>
      </c>
      <c r="H2728" s="71" t="s">
        <v>3064</v>
      </c>
      <c r="I2728" s="71" t="s">
        <v>363</v>
      </c>
    </row>
    <row r="2729" spans="1:9" ht="29" x14ac:dyDescent="0.35">
      <c r="A2729" s="195">
        <v>18</v>
      </c>
      <c r="B2729" s="195">
        <v>90</v>
      </c>
      <c r="C2729" s="195" t="s">
        <v>3294</v>
      </c>
      <c r="D2729" s="195">
        <v>170</v>
      </c>
      <c r="E2729" s="195" t="s">
        <v>366</v>
      </c>
      <c r="F2729" s="71" t="s">
        <v>508</v>
      </c>
      <c r="G2729" s="71" t="s">
        <v>3253</v>
      </c>
      <c r="H2729" s="71" t="s">
        <v>3062</v>
      </c>
      <c r="I2729" s="71" t="s">
        <v>363</v>
      </c>
    </row>
    <row r="2730" spans="1:9" ht="43.5" x14ac:dyDescent="0.35">
      <c r="A2730" s="195">
        <v>18</v>
      </c>
      <c r="B2730" s="195">
        <v>91</v>
      </c>
      <c r="C2730" s="195" t="s">
        <v>3297</v>
      </c>
      <c r="D2730" s="195">
        <v>0</v>
      </c>
      <c r="E2730" s="195" t="s">
        <v>373</v>
      </c>
      <c r="F2730" s="71" t="s">
        <v>3020</v>
      </c>
      <c r="G2730" s="71" t="s">
        <v>3253</v>
      </c>
      <c r="H2730" s="71" t="s">
        <v>3064</v>
      </c>
      <c r="I2730" s="71" t="s">
        <v>371</v>
      </c>
    </row>
    <row r="2731" spans="1:9" ht="43.5" x14ac:dyDescent="0.35">
      <c r="A2731" s="195">
        <v>18</v>
      </c>
      <c r="B2731" s="195">
        <v>91</v>
      </c>
      <c r="C2731" s="195" t="s">
        <v>3296</v>
      </c>
      <c r="D2731" s="195">
        <v>4</v>
      </c>
      <c r="E2731" s="195" t="s">
        <v>373</v>
      </c>
      <c r="F2731" s="71" t="s">
        <v>2510</v>
      </c>
      <c r="G2731" s="71" t="s">
        <v>3253</v>
      </c>
      <c r="H2731" s="71" t="s">
        <v>3064</v>
      </c>
      <c r="I2731" s="71" t="s">
        <v>371</v>
      </c>
    </row>
    <row r="2732" spans="1:9" ht="29" x14ac:dyDescent="0.35">
      <c r="A2732" s="195">
        <v>18</v>
      </c>
      <c r="B2732" s="195">
        <v>91</v>
      </c>
      <c r="C2732" s="195" t="s">
        <v>3295</v>
      </c>
      <c r="D2732" s="195">
        <v>50</v>
      </c>
      <c r="E2732" s="195" t="s">
        <v>373</v>
      </c>
      <c r="F2732" s="71" t="s">
        <v>508</v>
      </c>
      <c r="G2732" s="71" t="s">
        <v>3253</v>
      </c>
      <c r="H2732" s="71" t="s">
        <v>3062</v>
      </c>
      <c r="I2732" s="71" t="s">
        <v>371</v>
      </c>
    </row>
    <row r="2733" spans="1:9" ht="43.5" x14ac:dyDescent="0.35">
      <c r="A2733" s="195">
        <v>18</v>
      </c>
      <c r="B2733" s="195">
        <v>92</v>
      </c>
      <c r="C2733" s="195" t="s">
        <v>3300</v>
      </c>
      <c r="D2733" s="195">
        <v>10</v>
      </c>
      <c r="E2733" s="195" t="s">
        <v>373</v>
      </c>
      <c r="F2733" s="71" t="s">
        <v>3020</v>
      </c>
      <c r="G2733" s="71" t="s">
        <v>3253</v>
      </c>
      <c r="H2733" s="71" t="s">
        <v>3064</v>
      </c>
      <c r="I2733" s="71" t="s">
        <v>2805</v>
      </c>
    </row>
    <row r="2734" spans="1:9" ht="43.5" x14ac:dyDescent="0.35">
      <c r="A2734" s="195">
        <v>18</v>
      </c>
      <c r="B2734" s="195">
        <v>92</v>
      </c>
      <c r="C2734" s="195" t="s">
        <v>3299</v>
      </c>
      <c r="D2734" s="195">
        <v>0</v>
      </c>
      <c r="E2734" s="195" t="s">
        <v>373</v>
      </c>
      <c r="F2734" s="71" t="s">
        <v>2510</v>
      </c>
      <c r="G2734" s="71" t="s">
        <v>3253</v>
      </c>
      <c r="H2734" s="71" t="s">
        <v>3064</v>
      </c>
      <c r="I2734" s="71" t="s">
        <v>2805</v>
      </c>
    </row>
    <row r="2735" spans="1:9" ht="43.5" x14ac:dyDescent="0.35">
      <c r="A2735" s="195">
        <v>18</v>
      </c>
      <c r="B2735" s="195">
        <v>92</v>
      </c>
      <c r="C2735" s="195" t="s">
        <v>3298</v>
      </c>
      <c r="D2735" s="195">
        <v>60</v>
      </c>
      <c r="E2735" s="195" t="s">
        <v>373</v>
      </c>
      <c r="F2735" s="71" t="s">
        <v>508</v>
      </c>
      <c r="G2735" s="71" t="s">
        <v>3253</v>
      </c>
      <c r="H2735" s="71" t="s">
        <v>3062</v>
      </c>
      <c r="I2735" s="71" t="s">
        <v>2805</v>
      </c>
    </row>
    <row r="2736" spans="1:9" ht="43.5" x14ac:dyDescent="0.35">
      <c r="A2736" s="195">
        <v>18</v>
      </c>
      <c r="B2736" s="195">
        <v>93</v>
      </c>
      <c r="C2736" s="195" t="s">
        <v>3303</v>
      </c>
      <c r="D2736" s="195">
        <v>4</v>
      </c>
      <c r="E2736" s="195" t="s">
        <v>373</v>
      </c>
      <c r="F2736" s="71" t="s">
        <v>3020</v>
      </c>
      <c r="G2736" s="71" t="s">
        <v>3253</v>
      </c>
      <c r="H2736" s="71" t="s">
        <v>3064</v>
      </c>
      <c r="I2736" s="71" t="s">
        <v>2827</v>
      </c>
    </row>
    <row r="2737" spans="1:9" ht="43.5" x14ac:dyDescent="0.35">
      <c r="A2737" s="195">
        <v>18</v>
      </c>
      <c r="B2737" s="195">
        <v>93</v>
      </c>
      <c r="C2737" s="195" t="s">
        <v>3302</v>
      </c>
      <c r="D2737" s="195">
        <v>0</v>
      </c>
      <c r="E2737" s="195" t="s">
        <v>373</v>
      </c>
      <c r="F2737" s="71" t="s">
        <v>2510</v>
      </c>
      <c r="G2737" s="71" t="s">
        <v>3253</v>
      </c>
      <c r="H2737" s="71" t="s">
        <v>3064</v>
      </c>
      <c r="I2737" s="71" t="s">
        <v>2827</v>
      </c>
    </row>
    <row r="2738" spans="1:9" ht="43.5" x14ac:dyDescent="0.35">
      <c r="A2738" s="195">
        <v>18</v>
      </c>
      <c r="B2738" s="195">
        <v>93</v>
      </c>
      <c r="C2738" s="195" t="s">
        <v>3301</v>
      </c>
      <c r="D2738" s="195">
        <v>25</v>
      </c>
      <c r="E2738" s="195" t="s">
        <v>373</v>
      </c>
      <c r="F2738" s="71" t="s">
        <v>508</v>
      </c>
      <c r="G2738" s="71" t="s">
        <v>3253</v>
      </c>
      <c r="H2738" s="71" t="s">
        <v>3062</v>
      </c>
      <c r="I2738" s="71" t="s">
        <v>2827</v>
      </c>
    </row>
    <row r="2739" spans="1:9" ht="43.5" x14ac:dyDescent="0.35">
      <c r="A2739" s="195">
        <v>18</v>
      </c>
      <c r="B2739" s="195">
        <v>94</v>
      </c>
      <c r="C2739" s="195" t="s">
        <v>3304</v>
      </c>
      <c r="D2739" s="195">
        <v>0</v>
      </c>
      <c r="E2739" s="195" t="s">
        <v>373</v>
      </c>
      <c r="F2739" s="71" t="s">
        <v>3020</v>
      </c>
      <c r="G2739" s="71" t="s">
        <v>3253</v>
      </c>
      <c r="H2739" s="71" t="s">
        <v>3064</v>
      </c>
      <c r="I2739" s="71" t="s">
        <v>3035</v>
      </c>
    </row>
    <row r="2740" spans="1:9" ht="43.5" x14ac:dyDescent="0.35">
      <c r="A2740" s="195">
        <v>18</v>
      </c>
      <c r="B2740" s="195">
        <v>94</v>
      </c>
      <c r="C2740" s="195" t="s">
        <v>3305</v>
      </c>
      <c r="D2740" s="195">
        <v>0</v>
      </c>
      <c r="E2740" s="195" t="s">
        <v>373</v>
      </c>
      <c r="F2740" s="71" t="s">
        <v>2510</v>
      </c>
      <c r="G2740" s="71" t="s">
        <v>3253</v>
      </c>
      <c r="H2740" s="71" t="s">
        <v>3064</v>
      </c>
      <c r="I2740" s="71" t="s">
        <v>3035</v>
      </c>
    </row>
    <row r="2741" spans="1:9" ht="43.5" x14ac:dyDescent="0.35">
      <c r="A2741" s="195">
        <v>18</v>
      </c>
      <c r="B2741" s="195">
        <v>94</v>
      </c>
      <c r="C2741" s="195" t="s">
        <v>3306</v>
      </c>
      <c r="D2741" s="195">
        <v>10</v>
      </c>
      <c r="E2741" s="195" t="s">
        <v>373</v>
      </c>
      <c r="F2741" s="71" t="s">
        <v>508</v>
      </c>
      <c r="G2741" s="71" t="s">
        <v>3253</v>
      </c>
      <c r="H2741" s="71" t="s">
        <v>3062</v>
      </c>
      <c r="I2741" s="71" t="s">
        <v>3035</v>
      </c>
    </row>
    <row r="2742" spans="1:9" ht="43.5" x14ac:dyDescent="0.35">
      <c r="A2742" s="195">
        <v>18</v>
      </c>
      <c r="B2742" s="195">
        <v>95</v>
      </c>
      <c r="C2742" s="195" t="s">
        <v>3309</v>
      </c>
      <c r="D2742" s="195">
        <v>35</v>
      </c>
      <c r="E2742" s="195" t="s">
        <v>373</v>
      </c>
      <c r="F2742" s="71" t="s">
        <v>3020</v>
      </c>
      <c r="G2742" s="71" t="s">
        <v>3253</v>
      </c>
      <c r="H2742" s="71" t="s">
        <v>3064</v>
      </c>
      <c r="I2742" s="71" t="s">
        <v>415</v>
      </c>
    </row>
    <row r="2743" spans="1:9" ht="43.5" x14ac:dyDescent="0.35">
      <c r="A2743" s="195">
        <v>18</v>
      </c>
      <c r="B2743" s="195">
        <v>95</v>
      </c>
      <c r="C2743" s="195" t="s">
        <v>3307</v>
      </c>
      <c r="D2743" s="195">
        <v>4</v>
      </c>
      <c r="E2743" s="195" t="s">
        <v>373</v>
      </c>
      <c r="F2743" s="71" t="s">
        <v>2510</v>
      </c>
      <c r="G2743" s="71" t="s">
        <v>3253</v>
      </c>
      <c r="H2743" s="71" t="s">
        <v>3064</v>
      </c>
      <c r="I2743" s="71" t="s">
        <v>415</v>
      </c>
    </row>
    <row r="2744" spans="1:9" ht="29" x14ac:dyDescent="0.35">
      <c r="A2744" s="195">
        <v>18</v>
      </c>
      <c r="B2744" s="195">
        <v>95</v>
      </c>
      <c r="C2744" s="195" t="s">
        <v>3308</v>
      </c>
      <c r="D2744" s="195">
        <v>25</v>
      </c>
      <c r="E2744" s="195" t="s">
        <v>373</v>
      </c>
      <c r="F2744" s="71" t="s">
        <v>508</v>
      </c>
      <c r="G2744" s="71" t="s">
        <v>3253</v>
      </c>
      <c r="H2744" s="71" t="s">
        <v>3062</v>
      </c>
      <c r="I2744" s="71" t="s">
        <v>415</v>
      </c>
    </row>
    <row r="2745" spans="1:9" ht="29" x14ac:dyDescent="0.35">
      <c r="A2745" s="195">
        <v>18</v>
      </c>
      <c r="B2745" s="195">
        <v>96</v>
      </c>
      <c r="C2745" s="195" t="s">
        <v>3312</v>
      </c>
      <c r="D2745" s="195">
        <v>35</v>
      </c>
      <c r="E2745" s="195" t="s">
        <v>366</v>
      </c>
      <c r="F2745" s="71" t="s">
        <v>3020</v>
      </c>
      <c r="G2745" s="71" t="s">
        <v>3253</v>
      </c>
      <c r="H2745" s="71" t="s">
        <v>3083</v>
      </c>
      <c r="I2745" s="71" t="s">
        <v>363</v>
      </c>
    </row>
    <row r="2746" spans="1:9" ht="29" x14ac:dyDescent="0.35">
      <c r="A2746" s="195">
        <v>18</v>
      </c>
      <c r="B2746" s="195">
        <v>96</v>
      </c>
      <c r="C2746" s="195" t="s">
        <v>3311</v>
      </c>
      <c r="D2746" s="195">
        <v>25</v>
      </c>
      <c r="E2746" s="195" t="s">
        <v>366</v>
      </c>
      <c r="F2746" s="71" t="s">
        <v>2510</v>
      </c>
      <c r="G2746" s="71" t="s">
        <v>3253</v>
      </c>
      <c r="H2746" s="71" t="s">
        <v>3083</v>
      </c>
      <c r="I2746" s="71" t="s">
        <v>363</v>
      </c>
    </row>
    <row r="2747" spans="1:9" ht="29" x14ac:dyDescent="0.35">
      <c r="A2747" s="195">
        <v>18</v>
      </c>
      <c r="B2747" s="195">
        <v>96</v>
      </c>
      <c r="C2747" s="195" t="s">
        <v>3310</v>
      </c>
      <c r="D2747" s="195">
        <v>40</v>
      </c>
      <c r="E2747" s="195" t="s">
        <v>366</v>
      </c>
      <c r="F2747" s="71" t="s">
        <v>508</v>
      </c>
      <c r="G2747" s="71" t="s">
        <v>3253</v>
      </c>
      <c r="H2747" s="71" t="s">
        <v>2491</v>
      </c>
      <c r="I2747" s="71" t="s">
        <v>363</v>
      </c>
    </row>
    <row r="2748" spans="1:9" ht="29" x14ac:dyDescent="0.35">
      <c r="A2748" s="195">
        <v>18</v>
      </c>
      <c r="B2748" s="195">
        <v>97</v>
      </c>
      <c r="C2748" s="195" t="s">
        <v>3314</v>
      </c>
      <c r="D2748" s="195">
        <v>4</v>
      </c>
      <c r="E2748" s="195" t="s">
        <v>373</v>
      </c>
      <c r="F2748" s="71" t="s">
        <v>3020</v>
      </c>
      <c r="G2748" s="71" t="s">
        <v>3253</v>
      </c>
      <c r="H2748" s="71" t="s">
        <v>3083</v>
      </c>
      <c r="I2748" s="71" t="s">
        <v>371</v>
      </c>
    </row>
    <row r="2749" spans="1:9" ht="29" x14ac:dyDescent="0.35">
      <c r="A2749" s="195">
        <v>18</v>
      </c>
      <c r="B2749" s="195">
        <v>97</v>
      </c>
      <c r="C2749" s="195" t="s">
        <v>3313</v>
      </c>
      <c r="D2749" s="195">
        <v>25</v>
      </c>
      <c r="E2749" s="195" t="s">
        <v>373</v>
      </c>
      <c r="F2749" s="71" t="s">
        <v>2510</v>
      </c>
      <c r="G2749" s="71" t="s">
        <v>3253</v>
      </c>
      <c r="H2749" s="71" t="s">
        <v>3083</v>
      </c>
      <c r="I2749" s="71" t="s">
        <v>371</v>
      </c>
    </row>
    <row r="2750" spans="1:9" ht="29" x14ac:dyDescent="0.35">
      <c r="A2750" s="195">
        <v>18</v>
      </c>
      <c r="B2750" s="195">
        <v>97</v>
      </c>
      <c r="C2750" s="195" t="s">
        <v>3315</v>
      </c>
      <c r="D2750" s="195">
        <v>4</v>
      </c>
      <c r="E2750" s="195" t="s">
        <v>373</v>
      </c>
      <c r="F2750" s="71" t="s">
        <v>508</v>
      </c>
      <c r="G2750" s="71" t="s">
        <v>3253</v>
      </c>
      <c r="H2750" s="71" t="s">
        <v>2491</v>
      </c>
      <c r="I2750" s="71" t="s">
        <v>371</v>
      </c>
    </row>
    <row r="2751" spans="1:9" ht="43.5" x14ac:dyDescent="0.35">
      <c r="A2751" s="195">
        <v>18</v>
      </c>
      <c r="B2751" s="195">
        <v>98</v>
      </c>
      <c r="C2751" s="195" t="s">
        <v>3317</v>
      </c>
      <c r="D2751" s="195">
        <v>10</v>
      </c>
      <c r="E2751" s="195" t="s">
        <v>373</v>
      </c>
      <c r="F2751" s="71" t="s">
        <v>3020</v>
      </c>
      <c r="G2751" s="71" t="s">
        <v>3253</v>
      </c>
      <c r="H2751" s="71" t="s">
        <v>3083</v>
      </c>
      <c r="I2751" s="71" t="s">
        <v>2805</v>
      </c>
    </row>
    <row r="2752" spans="1:9" ht="43.5" x14ac:dyDescent="0.35">
      <c r="A2752" s="195">
        <v>18</v>
      </c>
      <c r="B2752" s="195">
        <v>98</v>
      </c>
      <c r="C2752" s="195" t="s">
        <v>3316</v>
      </c>
      <c r="D2752" s="195">
        <v>0</v>
      </c>
      <c r="E2752" s="195" t="s">
        <v>373</v>
      </c>
      <c r="F2752" s="71" t="s">
        <v>2510</v>
      </c>
      <c r="G2752" s="71" t="s">
        <v>3253</v>
      </c>
      <c r="H2752" s="71" t="s">
        <v>3083</v>
      </c>
      <c r="I2752" s="71" t="s">
        <v>2805</v>
      </c>
    </row>
    <row r="2753" spans="1:9" ht="43.5" x14ac:dyDescent="0.35">
      <c r="A2753" s="195">
        <v>18</v>
      </c>
      <c r="B2753" s="195">
        <v>98</v>
      </c>
      <c r="C2753" s="195" t="s">
        <v>3318</v>
      </c>
      <c r="D2753" s="195">
        <v>0</v>
      </c>
      <c r="E2753" s="195" t="s">
        <v>373</v>
      </c>
      <c r="F2753" s="71" t="s">
        <v>508</v>
      </c>
      <c r="G2753" s="71" t="s">
        <v>3253</v>
      </c>
      <c r="H2753" s="71" t="s">
        <v>2491</v>
      </c>
      <c r="I2753" s="71" t="s">
        <v>2805</v>
      </c>
    </row>
    <row r="2754" spans="1:9" ht="43.5" x14ac:dyDescent="0.35">
      <c r="A2754" s="195">
        <v>18</v>
      </c>
      <c r="B2754" s="195">
        <v>99</v>
      </c>
      <c r="C2754" s="195" t="s">
        <v>3321</v>
      </c>
      <c r="D2754" s="195">
        <v>0</v>
      </c>
      <c r="E2754" s="195" t="s">
        <v>373</v>
      </c>
      <c r="F2754" s="71" t="s">
        <v>3020</v>
      </c>
      <c r="G2754" s="71" t="s">
        <v>3253</v>
      </c>
      <c r="H2754" s="71" t="s">
        <v>3083</v>
      </c>
      <c r="I2754" s="71" t="s">
        <v>2827</v>
      </c>
    </row>
    <row r="2755" spans="1:9" ht="43.5" x14ac:dyDescent="0.35">
      <c r="A2755" s="195">
        <v>18</v>
      </c>
      <c r="B2755" s="195">
        <v>99</v>
      </c>
      <c r="C2755" s="195" t="s">
        <v>3319</v>
      </c>
      <c r="D2755" s="195">
        <v>0</v>
      </c>
      <c r="E2755" s="195" t="s">
        <v>373</v>
      </c>
      <c r="F2755" s="71" t="s">
        <v>2510</v>
      </c>
      <c r="G2755" s="71" t="s">
        <v>3253</v>
      </c>
      <c r="H2755" s="71" t="s">
        <v>3083</v>
      </c>
      <c r="I2755" s="71" t="s">
        <v>2827</v>
      </c>
    </row>
    <row r="2756" spans="1:9" ht="43.5" x14ac:dyDescent="0.35">
      <c r="A2756" s="195">
        <v>18</v>
      </c>
      <c r="B2756" s="195">
        <v>99</v>
      </c>
      <c r="C2756" s="195" t="s">
        <v>3320</v>
      </c>
      <c r="D2756" s="195">
        <v>0</v>
      </c>
      <c r="E2756" s="195" t="s">
        <v>373</v>
      </c>
      <c r="F2756" s="71" t="s">
        <v>508</v>
      </c>
      <c r="G2756" s="71" t="s">
        <v>3253</v>
      </c>
      <c r="H2756" s="71" t="s">
        <v>2491</v>
      </c>
      <c r="I2756" s="71" t="s">
        <v>2827</v>
      </c>
    </row>
    <row r="2757" spans="1:9" ht="43.5" x14ac:dyDescent="0.35">
      <c r="A2757" s="195">
        <v>18</v>
      </c>
      <c r="B2757" s="195">
        <v>100</v>
      </c>
      <c r="C2757" s="195" t="s">
        <v>3323</v>
      </c>
      <c r="D2757" s="195">
        <v>0</v>
      </c>
      <c r="E2757" s="195" t="s">
        <v>373</v>
      </c>
      <c r="F2757" s="71" t="s">
        <v>3020</v>
      </c>
      <c r="G2757" s="71" t="s">
        <v>3253</v>
      </c>
      <c r="H2757" s="71" t="s">
        <v>3083</v>
      </c>
      <c r="I2757" s="71" t="s">
        <v>3035</v>
      </c>
    </row>
    <row r="2758" spans="1:9" ht="43.5" x14ac:dyDescent="0.35">
      <c r="A2758" s="195">
        <v>18</v>
      </c>
      <c r="B2758" s="195">
        <v>100</v>
      </c>
      <c r="C2758" s="195" t="s">
        <v>3322</v>
      </c>
      <c r="D2758" s="195">
        <v>0</v>
      </c>
      <c r="E2758" s="195" t="s">
        <v>373</v>
      </c>
      <c r="F2758" s="71" t="s">
        <v>2510</v>
      </c>
      <c r="G2758" s="71" t="s">
        <v>3253</v>
      </c>
      <c r="H2758" s="71" t="s">
        <v>3083</v>
      </c>
      <c r="I2758" s="71" t="s">
        <v>3035</v>
      </c>
    </row>
    <row r="2759" spans="1:9" ht="43.5" x14ac:dyDescent="0.35">
      <c r="A2759" s="195">
        <v>18</v>
      </c>
      <c r="B2759" s="195">
        <v>100</v>
      </c>
      <c r="C2759" s="195" t="s">
        <v>3324</v>
      </c>
      <c r="D2759" s="195">
        <v>0</v>
      </c>
      <c r="E2759" s="195" t="s">
        <v>373</v>
      </c>
      <c r="F2759" s="71" t="s">
        <v>508</v>
      </c>
      <c r="G2759" s="71" t="s">
        <v>3253</v>
      </c>
      <c r="H2759" s="71" t="s">
        <v>2491</v>
      </c>
      <c r="I2759" s="71" t="s">
        <v>3035</v>
      </c>
    </row>
    <row r="2760" spans="1:9" ht="29" x14ac:dyDescent="0.35">
      <c r="A2760" s="195">
        <v>18</v>
      </c>
      <c r="B2760" s="195">
        <v>101</v>
      </c>
      <c r="C2760" s="195" t="s">
        <v>3326</v>
      </c>
      <c r="D2760" s="195">
        <v>20</v>
      </c>
      <c r="E2760" s="195" t="s">
        <v>373</v>
      </c>
      <c r="F2760" s="71" t="s">
        <v>3020</v>
      </c>
      <c r="G2760" s="71" t="s">
        <v>3253</v>
      </c>
      <c r="H2760" s="71" t="s">
        <v>3083</v>
      </c>
      <c r="I2760" s="71" t="s">
        <v>415</v>
      </c>
    </row>
    <row r="2761" spans="1:9" ht="29" x14ac:dyDescent="0.35">
      <c r="A2761" s="195">
        <v>18</v>
      </c>
      <c r="B2761" s="195">
        <v>101</v>
      </c>
      <c r="C2761" s="195" t="s">
        <v>3327</v>
      </c>
      <c r="D2761" s="195">
        <v>0</v>
      </c>
      <c r="E2761" s="195" t="s">
        <v>373</v>
      </c>
      <c r="F2761" s="71" t="s">
        <v>2510</v>
      </c>
      <c r="G2761" s="71" t="s">
        <v>3253</v>
      </c>
      <c r="H2761" s="71" t="s">
        <v>3083</v>
      </c>
      <c r="I2761" s="71" t="s">
        <v>415</v>
      </c>
    </row>
    <row r="2762" spans="1:9" ht="29" x14ac:dyDescent="0.35">
      <c r="A2762" s="195">
        <v>18</v>
      </c>
      <c r="B2762" s="195">
        <v>101</v>
      </c>
      <c r="C2762" s="195" t="s">
        <v>3325</v>
      </c>
      <c r="D2762" s="195">
        <v>35</v>
      </c>
      <c r="E2762" s="195" t="s">
        <v>373</v>
      </c>
      <c r="F2762" s="71" t="s">
        <v>508</v>
      </c>
      <c r="G2762" s="71" t="s">
        <v>3253</v>
      </c>
      <c r="H2762" s="71" t="s">
        <v>2491</v>
      </c>
      <c r="I2762" s="71" t="s">
        <v>415</v>
      </c>
    </row>
    <row r="2774" spans="4:5" x14ac:dyDescent="0.35">
      <c r="D2774" s="191"/>
      <c r="E2774" s="191"/>
    </row>
    <row r="2775" spans="4:5" x14ac:dyDescent="0.35">
      <c r="D2775" s="191"/>
      <c r="E2775" s="191"/>
    </row>
    <row r="2776" spans="4:5" x14ac:dyDescent="0.35">
      <c r="D2776" s="191"/>
      <c r="E2776" s="191"/>
    </row>
    <row r="2777" spans="4:5" x14ac:dyDescent="0.35">
      <c r="D2777" s="191"/>
      <c r="E2777" s="191"/>
    </row>
    <row r="2778" spans="4:5" x14ac:dyDescent="0.35">
      <c r="D2778" s="191"/>
      <c r="E2778" s="191"/>
    </row>
    <row r="2779" spans="4:5" x14ac:dyDescent="0.35">
      <c r="D2779" s="191"/>
      <c r="E2779" s="191"/>
    </row>
    <row r="2780" spans="4:5" x14ac:dyDescent="0.35">
      <c r="D2780" s="191"/>
      <c r="E2780" s="191"/>
    </row>
    <row r="2781" spans="4:5" x14ac:dyDescent="0.35">
      <c r="D2781" s="191"/>
      <c r="E2781" s="191"/>
    </row>
    <row r="2782" spans="4:5" x14ac:dyDescent="0.35">
      <c r="D2782" s="191"/>
    </row>
    <row r="2783" spans="4:5" x14ac:dyDescent="0.35">
      <c r="D2783" s="191"/>
    </row>
  </sheetData>
  <autoFilter ref="A1:J2762" xr:uid="{00000000-0009-0000-0000-000000000000}">
    <sortState xmlns:xlrd2="http://schemas.microsoft.com/office/spreadsheetml/2017/richdata2" ref="A2:J2762">
      <sortCondition ref="A2:A2762"/>
      <sortCondition ref="B2:B2762"/>
      <sortCondition ref="C2:C2762"/>
    </sortState>
  </autoFilter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22"/>
  <sheetViews>
    <sheetView workbookViewId="0">
      <selection sqref="A1:D22"/>
    </sheetView>
  </sheetViews>
  <sheetFormatPr defaultColWidth="9.1796875" defaultRowHeight="14.5" x14ac:dyDescent="0.35"/>
  <cols>
    <col min="1" max="1" width="9.1796875" style="195"/>
    <col min="2" max="3" width="10.453125" style="195" customWidth="1"/>
    <col min="4" max="16384" width="9.1796875" style="195"/>
  </cols>
  <sheetData>
    <row r="1" spans="1:4" x14ac:dyDescent="0.35">
      <c r="B1" s="195" t="s">
        <v>4147</v>
      </c>
      <c r="C1" s="195" t="s">
        <v>4146</v>
      </c>
    </row>
    <row r="2" spans="1:4" x14ac:dyDescent="0.35">
      <c r="A2" s="195" t="s">
        <v>4125</v>
      </c>
      <c r="B2" s="195">
        <v>1152121</v>
      </c>
      <c r="C2" s="195">
        <v>1325693</v>
      </c>
    </row>
    <row r="3" spans="1:4" x14ac:dyDescent="0.35">
      <c r="A3" s="195" t="s">
        <v>4126</v>
      </c>
      <c r="B3" s="195">
        <v>614</v>
      </c>
      <c r="C3" s="195">
        <v>61</v>
      </c>
      <c r="D3" s="195" t="s">
        <v>4148</v>
      </c>
    </row>
    <row r="4" spans="1:4" x14ac:dyDescent="0.35">
      <c r="A4" s="195" t="s">
        <v>4127</v>
      </c>
      <c r="B4" s="195">
        <v>198</v>
      </c>
      <c r="C4" s="195">
        <v>150</v>
      </c>
      <c r="D4" s="195" t="s">
        <v>4149</v>
      </c>
    </row>
    <row r="5" spans="1:4" x14ac:dyDescent="0.35">
      <c r="A5" s="195" t="s">
        <v>4128</v>
      </c>
      <c r="B5" s="195">
        <v>3101</v>
      </c>
      <c r="C5" s="195">
        <v>4512</v>
      </c>
      <c r="D5" s="195" t="s">
        <v>4150</v>
      </c>
    </row>
    <row r="6" spans="1:4" x14ac:dyDescent="0.35">
      <c r="A6" s="195" t="s">
        <v>4129</v>
      </c>
      <c r="B6" s="195">
        <v>22478</v>
      </c>
      <c r="C6" s="195">
        <v>24015</v>
      </c>
      <c r="D6" s="195" t="s">
        <v>4151</v>
      </c>
    </row>
    <row r="7" spans="1:4" x14ac:dyDescent="0.35">
      <c r="A7" s="195" t="s">
        <v>4130</v>
      </c>
      <c r="B7" s="195">
        <v>75124</v>
      </c>
      <c r="C7" s="195">
        <v>61633</v>
      </c>
      <c r="D7" s="195" t="s">
        <v>4152</v>
      </c>
    </row>
    <row r="8" spans="1:4" x14ac:dyDescent="0.35">
      <c r="A8" s="195" t="s">
        <v>4131</v>
      </c>
      <c r="B8" s="195">
        <v>44047</v>
      </c>
      <c r="C8" s="195">
        <v>39160</v>
      </c>
      <c r="D8" s="195" t="s">
        <v>4153</v>
      </c>
    </row>
    <row r="9" spans="1:4" x14ac:dyDescent="0.35">
      <c r="A9" s="195" t="s">
        <v>4132</v>
      </c>
      <c r="B9" s="195">
        <v>105288</v>
      </c>
      <c r="C9" s="195">
        <v>99076</v>
      </c>
      <c r="D9" s="195" t="s">
        <v>4154</v>
      </c>
    </row>
    <row r="10" spans="1:4" x14ac:dyDescent="0.35">
      <c r="A10" s="195" t="s">
        <v>4133</v>
      </c>
      <c r="B10" s="195">
        <v>49655</v>
      </c>
      <c r="C10" s="195">
        <v>70610</v>
      </c>
      <c r="D10" s="195" t="s">
        <v>4155</v>
      </c>
    </row>
    <row r="11" spans="1:4" x14ac:dyDescent="0.35">
      <c r="A11" s="195" t="s">
        <v>4134</v>
      </c>
      <c r="B11" s="195">
        <v>29996</v>
      </c>
      <c r="C11" s="195">
        <v>42969</v>
      </c>
      <c r="D11" s="195" t="s">
        <v>4156</v>
      </c>
    </row>
    <row r="12" spans="1:4" x14ac:dyDescent="0.35">
      <c r="A12" s="195" t="s">
        <v>4135</v>
      </c>
      <c r="B12" s="195">
        <v>70326</v>
      </c>
      <c r="C12" s="195">
        <v>114721</v>
      </c>
      <c r="D12" s="195" t="s">
        <v>4157</v>
      </c>
    </row>
    <row r="13" spans="1:4" x14ac:dyDescent="0.35">
      <c r="A13" s="195" t="s">
        <v>4136</v>
      </c>
      <c r="B13" s="195">
        <v>20080</v>
      </c>
      <c r="C13" s="195">
        <v>28263</v>
      </c>
      <c r="D13" s="195" t="s">
        <v>4158</v>
      </c>
    </row>
    <row r="14" spans="1:4" x14ac:dyDescent="0.35">
      <c r="A14" s="195" t="s">
        <v>4137</v>
      </c>
      <c r="B14" s="195">
        <v>108670</v>
      </c>
      <c r="C14" s="195">
        <v>165733</v>
      </c>
      <c r="D14" s="195" t="s">
        <v>4159</v>
      </c>
    </row>
    <row r="15" spans="1:4" x14ac:dyDescent="0.35">
      <c r="A15" s="195" t="s">
        <v>4138</v>
      </c>
      <c r="B15" s="195">
        <v>16784</v>
      </c>
      <c r="C15" s="195">
        <v>14668</v>
      </c>
      <c r="D15" s="195" t="s">
        <v>4160</v>
      </c>
    </row>
    <row r="16" spans="1:4" x14ac:dyDescent="0.35">
      <c r="A16" s="195" t="s">
        <v>4139</v>
      </c>
      <c r="B16" s="195">
        <v>100792</v>
      </c>
      <c r="C16" s="195">
        <v>115916</v>
      </c>
      <c r="D16" s="195" t="s">
        <v>4161</v>
      </c>
    </row>
    <row r="17" spans="1:4" x14ac:dyDescent="0.35">
      <c r="A17" s="195" t="s">
        <v>4140</v>
      </c>
      <c r="B17" s="195">
        <v>114006</v>
      </c>
      <c r="C17" s="195">
        <v>118560</v>
      </c>
      <c r="D17" s="195" t="s">
        <v>4162</v>
      </c>
    </row>
    <row r="18" spans="1:4" x14ac:dyDescent="0.35">
      <c r="A18" s="195" t="s">
        <v>4141</v>
      </c>
      <c r="B18" s="195">
        <v>157709</v>
      </c>
      <c r="C18" s="195">
        <v>162172</v>
      </c>
      <c r="D18" s="195" t="s">
        <v>4163</v>
      </c>
    </row>
    <row r="19" spans="1:4" x14ac:dyDescent="0.35">
      <c r="A19" s="195" t="s">
        <v>4142</v>
      </c>
      <c r="B19" s="195">
        <v>22659</v>
      </c>
      <c r="C19" s="195">
        <v>23377</v>
      </c>
      <c r="D19" s="195" t="s">
        <v>4164</v>
      </c>
    </row>
    <row r="20" spans="1:4" x14ac:dyDescent="0.35">
      <c r="A20" s="195" t="s">
        <v>4143</v>
      </c>
      <c r="B20" s="195">
        <v>113057</v>
      </c>
      <c r="C20" s="195">
        <v>125757</v>
      </c>
      <c r="D20" s="195" t="s">
        <v>4165</v>
      </c>
    </row>
    <row r="21" spans="1:4" x14ac:dyDescent="0.35">
      <c r="A21" s="195" t="s">
        <v>4144</v>
      </c>
      <c r="B21" s="195">
        <v>46591</v>
      </c>
      <c r="C21" s="195">
        <v>58911</v>
      </c>
      <c r="D21" s="195" t="s">
        <v>4166</v>
      </c>
    </row>
    <row r="22" spans="1:4" x14ac:dyDescent="0.35">
      <c r="A22" s="195" t="s">
        <v>4145</v>
      </c>
      <c r="B22" s="195">
        <v>50946</v>
      </c>
      <c r="C22" s="195">
        <v>55429</v>
      </c>
      <c r="D22" s="195" t="s">
        <v>4167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22"/>
  <sheetViews>
    <sheetView workbookViewId="0">
      <selection activeCell="D2" sqref="D2"/>
    </sheetView>
  </sheetViews>
  <sheetFormatPr defaultColWidth="9.1796875" defaultRowHeight="14.5" x14ac:dyDescent="0.35"/>
  <cols>
    <col min="1" max="1" width="9.1796875" style="195"/>
    <col min="2" max="3" width="10.453125" style="195" customWidth="1"/>
    <col min="4" max="16384" width="9.1796875" style="195"/>
  </cols>
  <sheetData>
    <row r="1" spans="1:4" x14ac:dyDescent="0.35">
      <c r="B1" s="195" t="s">
        <v>4147</v>
      </c>
      <c r="C1" s="195" t="s">
        <v>4146</v>
      </c>
    </row>
    <row r="2" spans="1:4" x14ac:dyDescent="0.35">
      <c r="A2" s="195" t="s">
        <v>4125</v>
      </c>
      <c r="B2" s="64">
        <v>2328682</v>
      </c>
      <c r="C2" s="64">
        <v>2565027</v>
      </c>
    </row>
    <row r="3" spans="1:4" x14ac:dyDescent="0.35">
      <c r="A3" s="195" t="s">
        <v>4126</v>
      </c>
      <c r="B3" s="195">
        <v>1455</v>
      </c>
      <c r="C3" s="195">
        <v>507</v>
      </c>
      <c r="D3" s="195" t="s">
        <v>4148</v>
      </c>
    </row>
    <row r="4" spans="1:4" x14ac:dyDescent="0.35">
      <c r="A4" s="195" t="s">
        <v>4127</v>
      </c>
      <c r="B4" s="195">
        <v>543</v>
      </c>
      <c r="C4" s="195">
        <v>446</v>
      </c>
      <c r="D4" s="195" t="s">
        <v>4149</v>
      </c>
    </row>
    <row r="5" spans="1:4" x14ac:dyDescent="0.35">
      <c r="A5" s="195" t="s">
        <v>4128</v>
      </c>
      <c r="B5" s="64">
        <v>7526</v>
      </c>
      <c r="C5" s="64">
        <v>6562</v>
      </c>
      <c r="D5" s="195" t="s">
        <v>4150</v>
      </c>
    </row>
    <row r="6" spans="1:4" x14ac:dyDescent="0.35">
      <c r="A6" s="195" t="s">
        <v>4129</v>
      </c>
      <c r="B6" s="64">
        <v>62181</v>
      </c>
      <c r="C6" s="64">
        <v>72478</v>
      </c>
      <c r="D6" s="195" t="s">
        <v>4151</v>
      </c>
    </row>
    <row r="7" spans="1:4" x14ac:dyDescent="0.35">
      <c r="A7" s="195" t="s">
        <v>4130</v>
      </c>
      <c r="B7" s="64">
        <v>182106</v>
      </c>
      <c r="C7" s="64">
        <v>188751</v>
      </c>
      <c r="D7" s="195" t="s">
        <v>4152</v>
      </c>
    </row>
    <row r="8" spans="1:4" x14ac:dyDescent="0.35">
      <c r="A8" s="195" t="s">
        <v>4131</v>
      </c>
      <c r="B8" s="64">
        <v>109492</v>
      </c>
      <c r="C8" s="64">
        <v>116056</v>
      </c>
      <c r="D8" s="195" t="s">
        <v>4153</v>
      </c>
    </row>
    <row r="9" spans="1:4" x14ac:dyDescent="0.35">
      <c r="A9" s="195" t="s">
        <v>4132</v>
      </c>
      <c r="B9" s="64">
        <v>232507</v>
      </c>
      <c r="C9" s="64">
        <v>255641</v>
      </c>
      <c r="D9" s="195" t="s">
        <v>4154</v>
      </c>
    </row>
    <row r="10" spans="1:4" x14ac:dyDescent="0.35">
      <c r="A10" s="195" t="s">
        <v>4133</v>
      </c>
      <c r="B10" s="64">
        <v>104984</v>
      </c>
      <c r="C10" s="64">
        <v>130691</v>
      </c>
      <c r="D10" s="195" t="s">
        <v>4155</v>
      </c>
    </row>
    <row r="11" spans="1:4" x14ac:dyDescent="0.35">
      <c r="A11" s="195" t="s">
        <v>4134</v>
      </c>
      <c r="B11" s="64">
        <v>55453</v>
      </c>
      <c r="C11" s="64">
        <v>65381</v>
      </c>
      <c r="D11" s="195" t="s">
        <v>4156</v>
      </c>
    </row>
    <row r="12" spans="1:4" x14ac:dyDescent="0.35">
      <c r="A12" s="195" t="s">
        <v>4135</v>
      </c>
      <c r="B12" s="64">
        <v>130507</v>
      </c>
      <c r="C12" s="64">
        <v>156450</v>
      </c>
      <c r="D12" s="195" t="s">
        <v>4157</v>
      </c>
    </row>
    <row r="13" spans="1:4" x14ac:dyDescent="0.35">
      <c r="A13" s="195" t="s">
        <v>4136</v>
      </c>
      <c r="B13" s="64">
        <v>36974</v>
      </c>
      <c r="C13" s="64">
        <v>43061</v>
      </c>
      <c r="D13" s="195" t="s">
        <v>4158</v>
      </c>
    </row>
    <row r="14" spans="1:4" x14ac:dyDescent="0.35">
      <c r="A14" s="195" t="s">
        <v>4137</v>
      </c>
      <c r="B14" s="64">
        <v>198628</v>
      </c>
      <c r="C14" s="64">
        <v>236280</v>
      </c>
      <c r="D14" s="195" t="s">
        <v>4159</v>
      </c>
    </row>
    <row r="15" spans="1:4" x14ac:dyDescent="0.35">
      <c r="A15" s="195" t="s">
        <v>4138</v>
      </c>
      <c r="B15" s="64">
        <v>42051</v>
      </c>
      <c r="C15" s="64">
        <v>46539</v>
      </c>
      <c r="D15" s="195" t="s">
        <v>4160</v>
      </c>
    </row>
    <row r="16" spans="1:4" x14ac:dyDescent="0.35">
      <c r="A16" s="195" t="s">
        <v>4139</v>
      </c>
      <c r="B16" s="64">
        <v>187064</v>
      </c>
      <c r="C16" s="64">
        <v>202033</v>
      </c>
      <c r="D16" s="195" t="s">
        <v>4161</v>
      </c>
    </row>
    <row r="17" spans="1:4" x14ac:dyDescent="0.35">
      <c r="A17" s="195" t="s">
        <v>4140</v>
      </c>
      <c r="B17" s="64">
        <v>223270</v>
      </c>
      <c r="C17" s="64">
        <v>226075</v>
      </c>
      <c r="D17" s="195" t="s">
        <v>4162</v>
      </c>
    </row>
    <row r="18" spans="1:4" x14ac:dyDescent="0.35">
      <c r="A18" s="195" t="s">
        <v>4141</v>
      </c>
      <c r="B18" s="64">
        <v>323533</v>
      </c>
      <c r="C18" s="64">
        <v>352540</v>
      </c>
      <c r="D18" s="195" t="s">
        <v>4163</v>
      </c>
    </row>
    <row r="19" spans="1:4" x14ac:dyDescent="0.35">
      <c r="A19" s="195" t="s">
        <v>4142</v>
      </c>
      <c r="B19" s="64">
        <v>47983</v>
      </c>
      <c r="C19" s="64">
        <v>52509</v>
      </c>
      <c r="D19" s="195" t="s">
        <v>4164</v>
      </c>
    </row>
    <row r="20" spans="1:4" x14ac:dyDescent="0.35">
      <c r="A20" s="195" t="s">
        <v>4143</v>
      </c>
      <c r="B20" s="64">
        <v>207147</v>
      </c>
      <c r="C20" s="64">
        <v>225159</v>
      </c>
      <c r="D20" s="195" t="s">
        <v>4165</v>
      </c>
    </row>
    <row r="21" spans="1:4" x14ac:dyDescent="0.35">
      <c r="A21" s="195" t="s">
        <v>4144</v>
      </c>
      <c r="B21" s="64">
        <v>89402</v>
      </c>
      <c r="C21" s="64">
        <v>101537</v>
      </c>
      <c r="D21" s="195" t="s">
        <v>4166</v>
      </c>
    </row>
    <row r="22" spans="1:4" x14ac:dyDescent="0.35">
      <c r="A22" s="195" t="s">
        <v>4145</v>
      </c>
      <c r="B22" s="64">
        <v>85876</v>
      </c>
      <c r="C22" s="64">
        <v>86331</v>
      </c>
      <c r="D22" s="195" t="s">
        <v>4167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22"/>
  <sheetViews>
    <sheetView workbookViewId="0">
      <selection activeCell="B2" sqref="B2"/>
    </sheetView>
  </sheetViews>
  <sheetFormatPr defaultRowHeight="14.5" x14ac:dyDescent="0.35"/>
  <cols>
    <col min="2" max="2" width="10.453125" style="189" customWidth="1"/>
    <col min="3" max="3" width="10.453125" customWidth="1"/>
  </cols>
  <sheetData>
    <row r="1" spans="1:4" x14ac:dyDescent="0.35">
      <c r="B1" s="189" t="s">
        <v>4147</v>
      </c>
      <c r="C1" t="s">
        <v>4146</v>
      </c>
    </row>
    <row r="2" spans="1:4" x14ac:dyDescent="0.35">
      <c r="A2" s="189" t="s">
        <v>4125</v>
      </c>
      <c r="B2" s="64">
        <f>VLOOKUP(A2,'LODES 2015 Cook Co'!A1:C22,2,FALSE) - VLOOKUP(A2,'LODES 2015 Chicago'!A1:C22,2,FALSE)</f>
        <v>1176561</v>
      </c>
      <c r="C2" s="64">
        <f>VLOOKUP(A2,'LODES 2015 Cook Co'!A1:C22,3,FALSE) - VLOOKUP(A2,'LODES 2015 Chicago'!A1:C22,3,FALSE)</f>
        <v>1239334</v>
      </c>
    </row>
    <row r="3" spans="1:4" x14ac:dyDescent="0.35">
      <c r="A3" s="189" t="s">
        <v>4126</v>
      </c>
      <c r="B3" s="64">
        <f>VLOOKUP(A3,'LODES 2015 Cook Co'!A2:C23,2,FALSE) - VLOOKUP(A3,'LODES 2015 Chicago'!A2:C23,2,FALSE)</f>
        <v>841</v>
      </c>
      <c r="C3" s="64">
        <f>VLOOKUP(A3,'LODES 2015 Cook Co'!A2:C23,3,FALSE) - VLOOKUP(A3,'LODES 2015 Chicago'!A2:C23,3,FALSE)</f>
        <v>446</v>
      </c>
      <c r="D3" t="s">
        <v>4148</v>
      </c>
    </row>
    <row r="4" spans="1:4" x14ac:dyDescent="0.35">
      <c r="A4" s="189" t="s">
        <v>4127</v>
      </c>
      <c r="B4" s="64">
        <f>VLOOKUP(A4,'LODES 2015 Cook Co'!A3:C24,2,FALSE) - VLOOKUP(A4,'LODES 2015 Chicago'!A3:C24,2,FALSE)</f>
        <v>345</v>
      </c>
      <c r="C4" s="64">
        <f>VLOOKUP(A4,'LODES 2015 Cook Co'!A3:C24,3,FALSE) - VLOOKUP(A4,'LODES 2015 Chicago'!A3:C24,3,FALSE)</f>
        <v>296</v>
      </c>
      <c r="D4" t="s">
        <v>4149</v>
      </c>
    </row>
    <row r="5" spans="1:4" x14ac:dyDescent="0.35">
      <c r="A5" s="189" t="s">
        <v>4128</v>
      </c>
      <c r="B5" s="64">
        <f>VLOOKUP(A5,'LODES 2015 Cook Co'!A4:C25,2,FALSE) - VLOOKUP(A5,'LODES 2015 Chicago'!A4:C25,2,FALSE)</f>
        <v>4425</v>
      </c>
      <c r="C5" s="64">
        <f>VLOOKUP(A5,'LODES 2015 Cook Co'!A4:C25,3,FALSE) - VLOOKUP(A5,'LODES 2015 Chicago'!A4:C25,3,FALSE)</f>
        <v>2050</v>
      </c>
      <c r="D5" t="s">
        <v>4150</v>
      </c>
    </row>
    <row r="6" spans="1:4" x14ac:dyDescent="0.35">
      <c r="A6" s="189" t="s">
        <v>4129</v>
      </c>
      <c r="B6" s="64">
        <f>VLOOKUP(A6,'LODES 2015 Cook Co'!A5:C26,2,FALSE) - VLOOKUP(A6,'LODES 2015 Chicago'!A5:C26,2,FALSE)</f>
        <v>39703</v>
      </c>
      <c r="C6" s="64">
        <f>VLOOKUP(A6,'LODES 2015 Cook Co'!A5:C26,3,FALSE) - VLOOKUP(A6,'LODES 2015 Chicago'!A5:C26,3,FALSE)</f>
        <v>48463</v>
      </c>
      <c r="D6" t="s">
        <v>4151</v>
      </c>
    </row>
    <row r="7" spans="1:4" x14ac:dyDescent="0.35">
      <c r="A7" s="189" t="s">
        <v>4130</v>
      </c>
      <c r="B7" s="64">
        <f>VLOOKUP(A7,'LODES 2015 Cook Co'!A6:C27,2,FALSE) - VLOOKUP(A7,'LODES 2015 Chicago'!A6:C27,2,FALSE)</f>
        <v>106982</v>
      </c>
      <c r="C7" s="64">
        <f>VLOOKUP(A7,'LODES 2015 Cook Co'!A6:C27,3,FALSE) - VLOOKUP(A7,'LODES 2015 Chicago'!A6:C27,3,FALSE)</f>
        <v>127118</v>
      </c>
      <c r="D7" t="s">
        <v>4152</v>
      </c>
    </row>
    <row r="8" spans="1:4" x14ac:dyDescent="0.35">
      <c r="A8" s="189" t="s">
        <v>4131</v>
      </c>
      <c r="B8" s="64">
        <f>VLOOKUP(A8,'LODES 2015 Cook Co'!A7:C28,2,FALSE) - VLOOKUP(A8,'LODES 2015 Chicago'!A7:C28,2,FALSE)</f>
        <v>65445</v>
      </c>
      <c r="C8" s="64">
        <f>VLOOKUP(A8,'LODES 2015 Cook Co'!A7:C28,3,FALSE) - VLOOKUP(A8,'LODES 2015 Chicago'!A7:C28,3,FALSE)</f>
        <v>76896</v>
      </c>
      <c r="D8" t="s">
        <v>4153</v>
      </c>
    </row>
    <row r="9" spans="1:4" x14ac:dyDescent="0.35">
      <c r="A9" s="189" t="s">
        <v>4132</v>
      </c>
      <c r="B9" s="64">
        <f>VLOOKUP(A9,'LODES 2015 Cook Co'!A8:C29,2,FALSE) - VLOOKUP(A9,'LODES 2015 Chicago'!A8:C29,2,FALSE)</f>
        <v>127219</v>
      </c>
      <c r="C9" s="64">
        <f>VLOOKUP(A9,'LODES 2015 Cook Co'!A8:C29,3,FALSE) - VLOOKUP(A9,'LODES 2015 Chicago'!A8:C29,3,FALSE)</f>
        <v>156565</v>
      </c>
      <c r="D9" t="s">
        <v>4154</v>
      </c>
    </row>
    <row r="10" spans="1:4" x14ac:dyDescent="0.35">
      <c r="A10" s="189" t="s">
        <v>4133</v>
      </c>
      <c r="B10" s="64">
        <f>VLOOKUP(A10,'LODES 2015 Cook Co'!A9:C30,2,FALSE) - VLOOKUP(A10,'LODES 2015 Chicago'!A9:C30,2,FALSE)</f>
        <v>55329</v>
      </c>
      <c r="C10" s="64">
        <f>VLOOKUP(A10,'LODES 2015 Cook Co'!A9:C30,3,FALSE) - VLOOKUP(A10,'LODES 2015 Chicago'!A9:C30,3,FALSE)</f>
        <v>60081</v>
      </c>
      <c r="D10" t="s">
        <v>4155</v>
      </c>
    </row>
    <row r="11" spans="1:4" x14ac:dyDescent="0.35">
      <c r="A11" s="189" t="s">
        <v>4134</v>
      </c>
      <c r="B11" s="64">
        <f>VLOOKUP(A11,'LODES 2015 Cook Co'!A10:C31,2,FALSE) - VLOOKUP(A11,'LODES 2015 Chicago'!A10:C31,2,FALSE)</f>
        <v>25457</v>
      </c>
      <c r="C11" s="64">
        <f>VLOOKUP(A11,'LODES 2015 Cook Co'!A10:C31,3,FALSE) - VLOOKUP(A11,'LODES 2015 Chicago'!A10:C31,3,FALSE)</f>
        <v>22412</v>
      </c>
      <c r="D11" t="s">
        <v>4156</v>
      </c>
    </row>
    <row r="12" spans="1:4" x14ac:dyDescent="0.35">
      <c r="A12" s="189" t="s">
        <v>4135</v>
      </c>
      <c r="B12" s="64">
        <f>VLOOKUP(A12,'LODES 2015 Cook Co'!A11:C32,2,FALSE) - VLOOKUP(A12,'LODES 2015 Chicago'!A11:C32,2,FALSE)</f>
        <v>60181</v>
      </c>
      <c r="C12" s="64">
        <f>VLOOKUP(A12,'LODES 2015 Cook Co'!A11:C32,3,FALSE) - VLOOKUP(A12,'LODES 2015 Chicago'!A11:C32,3,FALSE)</f>
        <v>41729</v>
      </c>
      <c r="D12" t="s">
        <v>4157</v>
      </c>
    </row>
    <row r="13" spans="1:4" x14ac:dyDescent="0.35">
      <c r="A13" s="189" t="s">
        <v>4136</v>
      </c>
      <c r="B13" s="64">
        <f>VLOOKUP(A13,'LODES 2015 Cook Co'!A12:C33,2,FALSE) - VLOOKUP(A13,'LODES 2015 Chicago'!A12:C33,2,FALSE)</f>
        <v>16894</v>
      </c>
      <c r="C13" s="64">
        <f>VLOOKUP(A13,'LODES 2015 Cook Co'!A12:C33,3,FALSE) - VLOOKUP(A13,'LODES 2015 Chicago'!A12:C33,3,FALSE)</f>
        <v>14798</v>
      </c>
      <c r="D13" t="s">
        <v>4158</v>
      </c>
    </row>
    <row r="14" spans="1:4" x14ac:dyDescent="0.35">
      <c r="A14" s="189" t="s">
        <v>4137</v>
      </c>
      <c r="B14" s="64">
        <f>VLOOKUP(A14,'LODES 2015 Cook Co'!A13:C34,2,FALSE) - VLOOKUP(A14,'LODES 2015 Chicago'!A13:C34,2,FALSE)</f>
        <v>89958</v>
      </c>
      <c r="C14" s="64">
        <f>VLOOKUP(A14,'LODES 2015 Cook Co'!A13:C34,3,FALSE) - VLOOKUP(A14,'LODES 2015 Chicago'!A13:C34,3,FALSE)</f>
        <v>70547</v>
      </c>
      <c r="D14" t="s">
        <v>4159</v>
      </c>
    </row>
    <row r="15" spans="1:4" x14ac:dyDescent="0.35">
      <c r="A15" s="189" t="s">
        <v>4138</v>
      </c>
      <c r="B15" s="64">
        <f>VLOOKUP(A15,'LODES 2015 Cook Co'!A14:C35,2,FALSE) - VLOOKUP(A15,'LODES 2015 Chicago'!A14:C35,2,FALSE)</f>
        <v>25267</v>
      </c>
      <c r="C15" s="64">
        <f>VLOOKUP(A15,'LODES 2015 Cook Co'!A14:C35,3,FALSE) - VLOOKUP(A15,'LODES 2015 Chicago'!A14:C35,3,FALSE)</f>
        <v>31871</v>
      </c>
      <c r="D15" t="s">
        <v>4160</v>
      </c>
    </row>
    <row r="16" spans="1:4" x14ac:dyDescent="0.35">
      <c r="A16" s="189" t="s">
        <v>4139</v>
      </c>
      <c r="B16" s="64">
        <f>VLOOKUP(A16,'LODES 2015 Cook Co'!A15:C36,2,FALSE) - VLOOKUP(A16,'LODES 2015 Chicago'!A15:C36,2,FALSE)</f>
        <v>86272</v>
      </c>
      <c r="C16" s="64">
        <f>VLOOKUP(A16,'LODES 2015 Cook Co'!A15:C36,3,FALSE) - VLOOKUP(A16,'LODES 2015 Chicago'!A15:C36,3,FALSE)</f>
        <v>86117</v>
      </c>
      <c r="D16" t="s">
        <v>4161</v>
      </c>
    </row>
    <row r="17" spans="1:4" x14ac:dyDescent="0.35">
      <c r="A17" s="189" t="s">
        <v>4140</v>
      </c>
      <c r="B17" s="64">
        <f>VLOOKUP(A17,'LODES 2015 Cook Co'!A16:C37,2,FALSE) - VLOOKUP(A17,'LODES 2015 Chicago'!A16:C37,2,FALSE)</f>
        <v>109264</v>
      </c>
      <c r="C17" s="64">
        <f>VLOOKUP(A17,'LODES 2015 Cook Co'!A16:C37,3,FALSE) - VLOOKUP(A17,'LODES 2015 Chicago'!A16:C37,3,FALSE)</f>
        <v>107515</v>
      </c>
      <c r="D17" t="s">
        <v>4162</v>
      </c>
    </row>
    <row r="18" spans="1:4" x14ac:dyDescent="0.35">
      <c r="A18" s="189" t="s">
        <v>4141</v>
      </c>
      <c r="B18" s="64">
        <f>VLOOKUP(A18,'LODES 2015 Cook Co'!A17:C38,2,FALSE) - VLOOKUP(A18,'LODES 2015 Chicago'!A17:C38,2,FALSE)</f>
        <v>165824</v>
      </c>
      <c r="C18" s="64">
        <f>VLOOKUP(A18,'LODES 2015 Cook Co'!A17:C38,3,FALSE) - VLOOKUP(A18,'LODES 2015 Chicago'!A17:C38,3,FALSE)</f>
        <v>190368</v>
      </c>
      <c r="D18" t="s">
        <v>4163</v>
      </c>
    </row>
    <row r="19" spans="1:4" x14ac:dyDescent="0.35">
      <c r="A19" s="189" t="s">
        <v>4142</v>
      </c>
      <c r="B19" s="64">
        <f>VLOOKUP(A19,'LODES 2015 Cook Co'!A18:C39,2,FALSE) - VLOOKUP(A19,'LODES 2015 Chicago'!A18:C39,2,FALSE)</f>
        <v>25324</v>
      </c>
      <c r="C19" s="64">
        <f>VLOOKUP(A19,'LODES 2015 Cook Co'!A18:C39,3,FALSE) - VLOOKUP(A19,'LODES 2015 Chicago'!A18:C39,3,FALSE)</f>
        <v>29132</v>
      </c>
      <c r="D19" t="s">
        <v>4164</v>
      </c>
    </row>
    <row r="20" spans="1:4" x14ac:dyDescent="0.35">
      <c r="A20" s="189" t="s">
        <v>4143</v>
      </c>
      <c r="B20" s="64">
        <f>VLOOKUP(A20,'LODES 2015 Cook Co'!A19:C40,2,FALSE) - VLOOKUP(A20,'LODES 2015 Chicago'!A19:C40,2,FALSE)</f>
        <v>94090</v>
      </c>
      <c r="C20" s="64">
        <f>VLOOKUP(A20,'LODES 2015 Cook Co'!A19:C40,3,FALSE) - VLOOKUP(A20,'LODES 2015 Chicago'!A19:C40,3,FALSE)</f>
        <v>99402</v>
      </c>
      <c r="D20" t="s">
        <v>4165</v>
      </c>
    </row>
    <row r="21" spans="1:4" x14ac:dyDescent="0.35">
      <c r="A21" s="189" t="s">
        <v>4144</v>
      </c>
      <c r="B21" s="64">
        <f>VLOOKUP(A21,'LODES 2015 Cook Co'!A20:C41,2,FALSE) - VLOOKUP(A21,'LODES 2015 Chicago'!A20:C41,2,FALSE)</f>
        <v>42811</v>
      </c>
      <c r="C21" s="64">
        <f>VLOOKUP(A21,'LODES 2015 Cook Co'!A20:C41,3,FALSE) - VLOOKUP(A21,'LODES 2015 Chicago'!A20:C41,3,FALSE)</f>
        <v>42626</v>
      </c>
      <c r="D21" t="s">
        <v>4166</v>
      </c>
    </row>
    <row r="22" spans="1:4" x14ac:dyDescent="0.35">
      <c r="A22" s="189" t="s">
        <v>4145</v>
      </c>
      <c r="B22" s="64">
        <f>VLOOKUP(A22,'LODES 2015 Cook Co'!A21:C42,2,FALSE) - VLOOKUP(A22,'LODES 2015 Chicago'!A21:C42,2,FALSE)</f>
        <v>34930</v>
      </c>
      <c r="C22" s="64">
        <f>VLOOKUP(A22,'LODES 2015 Cook Co'!A21:C42,3,FALSE) - VLOOKUP(A22,'LODES 2015 Chicago'!A21:C42,3,FALSE)</f>
        <v>30902</v>
      </c>
      <c r="D22" t="s">
        <v>4167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84"/>
  <sheetViews>
    <sheetView topLeftCell="A58" workbookViewId="0">
      <selection activeCell="A84" sqref="A84"/>
    </sheetView>
  </sheetViews>
  <sheetFormatPr defaultRowHeight="14.5" x14ac:dyDescent="0.35"/>
  <cols>
    <col min="1" max="1" width="57.7265625" bestFit="1" customWidth="1"/>
    <col min="2" max="11" width="16.54296875" customWidth="1"/>
    <col min="12" max="12" width="13.1796875" bestFit="1" customWidth="1"/>
  </cols>
  <sheetData>
    <row r="1" spans="1:12" x14ac:dyDescent="0.35">
      <c r="A1" s="35" t="s">
        <v>18</v>
      </c>
    </row>
    <row r="2" spans="1:12" x14ac:dyDescent="0.35">
      <c r="A2" s="11"/>
    </row>
    <row r="3" spans="1:12" ht="15" thickBot="1" x14ac:dyDescent="0.4">
      <c r="A3" s="9" t="s">
        <v>5</v>
      </c>
    </row>
    <row r="4" spans="1:12" ht="15" thickBot="1" x14ac:dyDescent="0.4">
      <c r="A4" s="5" t="s">
        <v>0</v>
      </c>
      <c r="B4" s="6" t="s">
        <v>212</v>
      </c>
      <c r="C4" s="6" t="s">
        <v>350</v>
      </c>
      <c r="D4" s="6" t="s">
        <v>1</v>
      </c>
    </row>
    <row r="5" spans="1:12" ht="15" thickBot="1" x14ac:dyDescent="0.4">
      <c r="A5" s="7" t="s">
        <v>2</v>
      </c>
      <c r="B5" s="48">
        <f>VLOOKUP("b01003_001",'ACS 2010'!$A$1:$F$6,2,FALSE)</f>
        <v>2469382</v>
      </c>
      <c r="C5" s="48">
        <f>VLOOKUP("b01003_001",'ACS 2017'!$A$1:$F$388,2,FALSE)</f>
        <v>2515955</v>
      </c>
      <c r="D5" s="131">
        <f>(C5-B5)/B5</f>
        <v>1.8860184451008389E-2</v>
      </c>
    </row>
    <row r="6" spans="1:12" ht="15" thickBot="1" x14ac:dyDescent="0.4">
      <c r="A6" s="7" t="s">
        <v>3</v>
      </c>
      <c r="B6" s="48">
        <f>VLOOKUP("b25003_001",'ACS 2010'!$A$1:$F$6,2,FALSE)</f>
        <v>903459</v>
      </c>
      <c r="C6" s="48">
        <f>VLOOKUP("b25003_001",'ACS 2017'!$A$1:$F$388,2,FALSE)</f>
        <v>909772</v>
      </c>
      <c r="D6" s="131">
        <f t="shared" ref="D6:D7" si="0">(C6-B6)/B6</f>
        <v>6.9875888114457876E-3</v>
      </c>
    </row>
    <row r="7" spans="1:12" ht="15" thickBot="1" x14ac:dyDescent="0.4">
      <c r="A7" s="7" t="s">
        <v>4</v>
      </c>
      <c r="B7" s="48">
        <f>VLOOKUP("b19013_001",'ACS 2010'!$A$1:$F$6,2,FALSE)</f>
        <v>62020.175578526527</v>
      </c>
      <c r="C7" s="48">
        <f>VLOOKUP("b19013_001",'ACS 2017'!$A$1:$F$388,2,FALSE)</f>
        <v>67398.548046103853</v>
      </c>
      <c r="D7" s="131">
        <f t="shared" si="0"/>
        <v>8.671972333853728E-2</v>
      </c>
    </row>
    <row r="8" spans="1:12" x14ac:dyDescent="0.35">
      <c r="A8" s="12" t="s">
        <v>4168</v>
      </c>
      <c r="D8" s="75"/>
    </row>
    <row r="9" spans="1:12" x14ac:dyDescent="0.35">
      <c r="A9" s="12"/>
    </row>
    <row r="10" spans="1:12" ht="15" thickBot="1" x14ac:dyDescent="0.4">
      <c r="A10" s="9" t="s">
        <v>6</v>
      </c>
    </row>
    <row r="11" spans="1:12" ht="15" thickBot="1" x14ac:dyDescent="0.4">
      <c r="A11" s="5"/>
      <c r="B11" s="6" t="s">
        <v>7</v>
      </c>
      <c r="C11" s="6" t="s">
        <v>8</v>
      </c>
      <c r="D11" s="6" t="s">
        <v>9</v>
      </c>
      <c r="E11" s="6" t="s">
        <v>10</v>
      </c>
      <c r="F11" s="10" t="s">
        <v>11</v>
      </c>
      <c r="H11" s="113"/>
      <c r="I11" s="113"/>
      <c r="J11" s="113"/>
      <c r="K11" s="113"/>
    </row>
    <row r="12" spans="1:12" ht="15" thickBot="1" x14ac:dyDescent="0.4">
      <c r="A12" s="7" t="s">
        <v>12</v>
      </c>
      <c r="B12" s="127">
        <f>VLOOKUP("T7_est3",CHAS!$C$1:$J$2762,2,FALSE) + VLOOKUP("T7_est134",CHAS!$C$1:$J$2762,2,FALSE)</f>
        <v>127015</v>
      </c>
      <c r="C12" s="127">
        <f>VLOOKUP("T7_est29",CHAS!$C$1:$J$2762,2,FALSE) + VLOOKUP("T7_est160",CHAS!$C$1:$J$2762,2,FALSE)</f>
        <v>114820</v>
      </c>
      <c r="D12" s="127">
        <f>VLOOKUP("T7_est55",CHAS!$C$1:$J$2762,2,FALSE) + VLOOKUP("T7_est186",CHAS!$C$1:$J$2762,2,FALSE)</f>
        <v>156930</v>
      </c>
      <c r="E12" s="127">
        <f>VLOOKUP("T7_est81",CHAS!$C$1:$J$2762,2,FALSE) + VLOOKUP("T7_est212",CHAS!$C$1:$J$2762,2,FALSE)</f>
        <v>96525</v>
      </c>
      <c r="F12" s="127">
        <f>VLOOKUP("T7_est107",CHAS!$C$1:$J$2762,2,FALSE) + VLOOKUP("T7_est238",CHAS!$C$1:$J$2762,2,FALSE)</f>
        <v>413745</v>
      </c>
      <c r="H12" s="113"/>
      <c r="I12" s="113"/>
      <c r="J12" s="113"/>
      <c r="K12" s="113"/>
      <c r="L12" s="113"/>
    </row>
    <row r="13" spans="1:12" ht="15" thickBot="1" x14ac:dyDescent="0.4">
      <c r="A13" s="7" t="s">
        <v>13</v>
      </c>
      <c r="B13" s="127">
        <f>VLOOKUP("T7_est9",CHAS!$C$1:$J$2762,2,FALSE) + VLOOKUP("T7_est140",CHAS!$C$1:$J$2762,2,FALSE)</f>
        <v>36055</v>
      </c>
      <c r="C13" s="127">
        <f>VLOOKUP("T7_est35",CHAS!$C$1:$J$2762,2,FALSE) + VLOOKUP("T7_est166",CHAS!$C$1:$J$2762,2,FALSE)</f>
        <v>36340</v>
      </c>
      <c r="D13" s="127">
        <f>VLOOKUP("T7_est61",CHAS!$C$1:$J$2762,2,FALSE) + VLOOKUP("T7_est192",CHAS!$C$1:$J$2762,2,FALSE)</f>
        <v>61270</v>
      </c>
      <c r="E13" s="127">
        <f>VLOOKUP("T7_est87",CHAS!$C$1:$J$2762,2,FALSE) + VLOOKUP("T7_est218",CHAS!$C$1:$J$2762,2,FALSE)</f>
        <v>41630</v>
      </c>
      <c r="F13" s="127">
        <f>VLOOKUP("T7_est113",CHAS!$C$1:$J$2762,2,FALSE) + VLOOKUP("T7_est244",CHAS!$C$1:$J$2762,2,FALSE)</f>
        <v>223985</v>
      </c>
      <c r="H13" s="113"/>
      <c r="I13" s="113"/>
      <c r="J13" s="113"/>
      <c r="K13" s="113"/>
      <c r="L13" s="113"/>
    </row>
    <row r="14" spans="1:12" ht="15" thickBot="1" x14ac:dyDescent="0.4">
      <c r="A14" s="7" t="s">
        <v>14</v>
      </c>
      <c r="B14" s="127">
        <f>VLOOKUP("T7_est14",CHAS!$C$1:$J$2762,2,FALSE) + VLOOKUP("T7_est145",CHAS!$C$1:$J$2762,2,FALSE)</f>
        <v>10560</v>
      </c>
      <c r="C14" s="127">
        <f>VLOOKUP("T7_est40",CHAS!$C$1:$J$2762,2,FALSE) + VLOOKUP("T7_est171",CHAS!$C$1:$J$2762,2,FALSE)</f>
        <v>13255</v>
      </c>
      <c r="D14" s="127">
        <f>VLOOKUP("T7_est66",CHAS!$C$1:$J$2762,2,FALSE) + VLOOKUP("T7_est197",CHAS!$C$1:$J$2762,2,FALSE)</f>
        <v>17020</v>
      </c>
      <c r="E14" s="127">
        <f>VLOOKUP("T7_est92",CHAS!$C$1:$J$2762,2,FALSE) + VLOOKUP("T7_est223",CHAS!$C$1:$J$2762,2,FALSE)</f>
        <v>10715</v>
      </c>
      <c r="F14" s="127">
        <f>VLOOKUP("T7_est118",CHAS!$C$1:$J$2762,2,FALSE) + VLOOKUP("T7_est249",CHAS!$C$1:$J$2762,2,FALSE)</f>
        <v>44380</v>
      </c>
      <c r="H14" s="113"/>
      <c r="I14" s="113"/>
      <c r="J14" s="113"/>
      <c r="K14" s="113"/>
    </row>
    <row r="15" spans="1:12" ht="15" thickBot="1" x14ac:dyDescent="0.4">
      <c r="A15" s="7" t="s">
        <v>15</v>
      </c>
      <c r="B15" s="8">
        <f>VLOOKUP("T5_est5",CHAS!$C$1:$J$2762,2,FALSE) +
VLOOKUP("T5_est26",CHAS!$C$1:$J$2762,2,FALSE) +
VLOOKUP("T5_est47",CHAS!$C$1:$J$2762,2,FALSE) +
VLOOKUP("T5_est69",CHAS!$C$1:$J$2762,2,FALSE) +
VLOOKUP("T5_est90",CHAS!$C$1:$J$2762,2,FALSE) +
VLOOKUP("T5_est111",CHAS!$C$1:$J$2762,2,FALSE)</f>
        <v>26670</v>
      </c>
      <c r="C15" s="8">
        <f>VLOOKUP("T5_est9",CHAS!$C$1:$J$2762,2,FALSE) +
VLOOKUP("T5_est30",CHAS!$C$1:$J$2762,2,FALSE) +
VLOOKUP("T5_est51",CHAS!$C$1:$J$2762,2,FALSE) +
VLOOKUP("T5_est73",CHAS!$C$1:$J$2762,2,FALSE) +
VLOOKUP("T5_est94",CHAS!$C$1:$J$2762,2,FALSE) +
VLOOKUP("T5_est115",CHAS!$C$1:$J$2762,2,FALSE)</f>
        <v>26005</v>
      </c>
      <c r="D15" s="8">
        <f>VLOOKUP("T5_est13",CHAS!$C$1:$J$2762,2,FALSE) +
VLOOKUP("T5_est34",CHAS!$C$1:$J$2762,2,FALSE) +
VLOOKUP("T5_est55",CHAS!$C$1:$J$2762,2,FALSE) +
VLOOKUP("T5_est77",CHAS!$C$1:$J$2762,2,FALSE) +
VLOOKUP("T5_est98",CHAS!$C$1:$J$2762,2,FALSE) +
VLOOKUP("T5_est119",CHAS!$C$1:$J$2762,2,FALSE)</f>
        <v>35315</v>
      </c>
      <c r="E15" s="8">
        <f>VLOOKUP("T5_est17",CHAS!$C$1:$J$2762,2,FALSE) +
VLOOKUP("T5_est38",CHAS!$C$1:$J$2762,2,FALSE) +
VLOOKUP("T5_est59",CHAS!$C$1:$J$2762,2,FALSE) +
VLOOKUP("T5_est81",CHAS!$C$1:$J$2762,2,FALSE) +
VLOOKUP("T5_est102",CHAS!$C$1:$J$2762,2,FALSE) +
VLOOKUP("T5_est123",CHAS!$C$1:$J$2762,2,FALSE)</f>
        <v>21790</v>
      </c>
      <c r="F15" s="8">
        <f>VLOOKUP("T5_est21",CHAS!$C$1:$J$2762,2,FALSE) +
VLOOKUP("T5_est42",CHAS!$C$1:$J$2762,2,FALSE) +
VLOOKUP("T5_est63",CHAS!$C$1:$J$2762,2,FALSE) +
VLOOKUP("T5_est85",CHAS!$C$1:$J$2762,2,FALSE) +
VLOOKUP("T5_est106",CHAS!$C$1:$J$2762,2,FALSE) +
VLOOKUP("T5_est127",CHAS!$C$1:$J$2762,2,FALSE)</f>
        <v>92000</v>
      </c>
    </row>
    <row r="16" spans="1:12" ht="15" thickBot="1" x14ac:dyDescent="0.4">
      <c r="A16" s="7" t="s">
        <v>16</v>
      </c>
      <c r="B16" s="8">
        <f>VLOOKUP("T5_est6",CHAS!$C$1:$J$2762,2,FALSE) +
VLOOKUP("T5_est27",CHAS!$C$1:$J$2762,2,FALSE) +
VLOOKUP("T5_est48",CHAS!$C$1:$J$2762,2,FALSE) +
VLOOKUP("T5_est70",CHAS!$C$1:$J$2762,2,FALSE) +
VLOOKUP("T5_est91",CHAS!$C$1:$J$2762,2,FALSE) +
VLOOKUP("T5_est112",CHAS!$C$1:$J$2762,2,FALSE)</f>
        <v>24775</v>
      </c>
      <c r="C16" s="8">
        <f>VLOOKUP("T5_est10",CHAS!$C$1:$J$2762,2,FALSE) +
VLOOKUP("T5_est31",CHAS!$C$1:$J$2762,2,FALSE) +
VLOOKUP("T5_est52",CHAS!$C$1:$J$2762,2,FALSE) +
VLOOKUP("T5_est74",CHAS!$C$1:$J$2762,2,FALSE) +
VLOOKUP("T5_est95",CHAS!$C$1:$J$2762,2,FALSE) +
VLOOKUP("T5_est116",CHAS!$C$1:$J$2762,2,FALSE)</f>
        <v>27395</v>
      </c>
      <c r="D16" s="8">
        <f>VLOOKUP("T5_est14",CHAS!$C$1:$J$2762,2,FALSE) +
VLOOKUP("T5_est35",CHAS!$C$1:$J$2762,2,FALSE) +
VLOOKUP("T5_est56",CHAS!$C$1:$J$2762,2,FALSE) +
VLOOKUP("T5_est78",CHAS!$C$1:$J$2762,2,FALSE) +
VLOOKUP("T5_est99",CHAS!$C$1:$J$2762,2,FALSE) +
VLOOKUP("T5_est120",CHAS!$C$1:$J$2762,2,FALSE)</f>
        <v>23440</v>
      </c>
      <c r="E16" s="8">
        <f>VLOOKUP("T5_est18",CHAS!$C$1:$J$2762,2,FALSE) +
VLOOKUP("T5_est39",CHAS!$C$1:$J$2762,2,FALSE) +
VLOOKUP("T5_est60",CHAS!$C$1:$J$2762,2,FALSE) +
VLOOKUP("T5_est82",CHAS!$C$1:$J$2762,2,FALSE) +
VLOOKUP("T5_est103",CHAS!$C$1:$J$2762,2,FALSE) +
VLOOKUP("T5_est124",CHAS!$C$1:$J$2762,2,FALSE)</f>
        <v>11165</v>
      </c>
      <c r="F16" s="8">
        <f>VLOOKUP("T5_est22",CHAS!$C$1:$J$2762,2,FALSE) +
VLOOKUP("T5_est43",CHAS!$C$1:$J$2762,2,FALSE) +
VLOOKUP("T5_est64",CHAS!$C$1:$J$2762,2,FALSE) +
VLOOKUP("T5_est86",CHAS!$C$1:$J$2762,2,FALSE) +
VLOOKUP("T5_est107",CHAS!$C$1:$J$2762,2,FALSE) +
VLOOKUP("T5_est128",CHAS!$C$1:$J$2762,2,FALSE)</f>
        <v>30595</v>
      </c>
    </row>
    <row r="17" spans="1:12" ht="15" thickBot="1" x14ac:dyDescent="0.4">
      <c r="A17" s="23" t="s">
        <v>17</v>
      </c>
      <c r="B17" s="8">
        <f>VLOOKUP("T13_est5",CHAS!$C$1:$J$2762,2,FALSE) +
VLOOKUP("T13_est21",CHAS!$C$1:$J$2762,2,FALSE) +
VLOOKUP("T13_est37",CHAS!$C$1:$J$2762,2,FALSE) +
VLOOKUP("T13_est54",CHAS!$C$1:$J$2762,2,FALSE) +
VLOOKUP("T13_est70",CHAS!$C$1:$J$2762,2,FALSE) +
VLOOKUP("T13_est86",CHAS!$C$1:$J$2762,2,FALSE)</f>
        <v>20385</v>
      </c>
      <c r="C17" s="8">
        <f>VLOOKUP("T13_est8",CHAS!$C$1:$J$2762,2,FALSE) +
VLOOKUP("T13_est24",CHAS!$C$1:$J$2762,2,FALSE) +
VLOOKUP("T13_est40",CHAS!$C$1:$J$2762,2,FALSE) +
VLOOKUP("T13_est57",CHAS!$C$1:$J$2762,2,FALSE) +
VLOOKUP("T13_est73",CHAS!$C$1:$J$2762,2,FALSE) +
VLOOKUP("T13_est89",CHAS!$C$1:$J$2762,2,FALSE)</f>
        <v>18955</v>
      </c>
      <c r="D17" s="8">
        <f>VLOOKUP("T13_est11",CHAS!$C$1:$J$2762,2,FALSE) +
VLOOKUP("T13_est27",CHAS!$C$1:$J$2762,2,FALSE) +
VLOOKUP("T13_est43",CHAS!$C$1:$J$2762,2,FALSE) +
VLOOKUP("T13_est60",CHAS!$C$1:$J$2762,2,FALSE) +
VLOOKUP("T13_est76",CHAS!$C$1:$J$2762,2,FALSE) +
VLOOKUP("T13_est92",CHAS!$C$1:$J$2762,2,FALSE)</f>
        <v>24800</v>
      </c>
      <c r="E17" s="8">
        <f>VLOOKUP("T13_est14",CHAS!$C$1:$J$2762,2,FALSE) +
VLOOKUP("T13_est30",CHAS!$C$1:$J$2762,2,FALSE) +
VLOOKUP("T13_est46",CHAS!$C$1:$J$2762,2,FALSE) +
VLOOKUP("T13_est63",CHAS!$C$1:$J$2762,2,FALSE) +
VLOOKUP("T13_est79",CHAS!$C$1:$J$2762,2,FALSE) +
VLOOKUP("T13_est95",CHAS!$C$1:$J$2762,2,FALSE)</f>
        <v>14935</v>
      </c>
      <c r="F17" s="8">
        <f>VLOOKUP("T13_est17",CHAS!$C$1:$J$2762,2,FALSE) +
VLOOKUP("T13_est33",CHAS!$C$1:$J$2762,2,FALSE) +
VLOOKUP("T13_est49",CHAS!$C$1:$J$2762,2,FALSE) +
VLOOKUP("T13_est66",CHAS!$C$1:$J$2762,2,FALSE) +
VLOOKUP("T13_est82",CHAS!$C$1:$J$2762,2,FALSE) +
VLOOKUP("T13_est98",CHAS!$C$1:$J$2762,2,FALSE)</f>
        <v>61415</v>
      </c>
    </row>
    <row r="18" spans="1:12" x14ac:dyDescent="0.35">
      <c r="A18" s="12" t="s">
        <v>4171</v>
      </c>
    </row>
    <row r="19" spans="1:12" x14ac:dyDescent="0.35">
      <c r="B19" s="64"/>
      <c r="C19" s="64"/>
      <c r="D19" s="64"/>
      <c r="E19" s="64"/>
      <c r="F19" s="64"/>
    </row>
    <row r="20" spans="1:12" x14ac:dyDescent="0.35">
      <c r="B20" s="64"/>
      <c r="C20" s="64"/>
      <c r="D20" s="64"/>
      <c r="E20" s="64"/>
      <c r="F20" s="64"/>
      <c r="H20" s="64"/>
    </row>
    <row r="21" spans="1:12" x14ac:dyDescent="0.35">
      <c r="A21" s="34" t="s">
        <v>169</v>
      </c>
      <c r="B21" s="64"/>
      <c r="C21" s="64"/>
      <c r="D21" s="64"/>
      <c r="E21" s="64"/>
      <c r="F21" s="64"/>
    </row>
    <row r="22" spans="1:12" ht="15" thickBot="1" x14ac:dyDescent="0.4">
      <c r="A22" s="9" t="s">
        <v>19</v>
      </c>
    </row>
    <row r="23" spans="1:12" ht="15" thickBot="1" x14ac:dyDescent="0.4">
      <c r="A23" s="255"/>
      <c r="B23" s="257" t="s">
        <v>20</v>
      </c>
      <c r="C23" s="258"/>
      <c r="D23" s="258"/>
      <c r="E23" s="258"/>
      <c r="F23" s="259"/>
      <c r="G23" s="257" t="s">
        <v>21</v>
      </c>
      <c r="H23" s="258"/>
      <c r="I23" s="258"/>
      <c r="J23" s="258"/>
      <c r="K23" s="259"/>
    </row>
    <row r="24" spans="1:12" ht="15" thickBot="1" x14ac:dyDescent="0.4">
      <c r="A24" s="256"/>
      <c r="B24" s="16" t="s">
        <v>3328</v>
      </c>
      <c r="C24" s="16" t="s">
        <v>3329</v>
      </c>
      <c r="D24" s="16" t="s">
        <v>3330</v>
      </c>
      <c r="E24" s="16" t="s">
        <v>3331</v>
      </c>
      <c r="F24" s="16" t="s">
        <v>26</v>
      </c>
      <c r="G24" s="16" t="s">
        <v>3328</v>
      </c>
      <c r="H24" s="16" t="s">
        <v>3329</v>
      </c>
      <c r="I24" s="16" t="s">
        <v>3330</v>
      </c>
      <c r="J24" s="16" t="s">
        <v>3331</v>
      </c>
      <c r="K24" s="16" t="s">
        <v>26</v>
      </c>
    </row>
    <row r="25" spans="1:12" ht="15" thickBot="1" x14ac:dyDescent="0.4">
      <c r="A25" s="260" t="s">
        <v>27</v>
      </c>
      <c r="B25" s="261"/>
      <c r="C25" s="261"/>
      <c r="D25" s="261"/>
      <c r="E25" s="261"/>
      <c r="F25" s="261"/>
      <c r="G25" s="261"/>
      <c r="H25" s="261"/>
      <c r="I25" s="261"/>
      <c r="J25" s="261"/>
      <c r="K25" s="262"/>
    </row>
    <row r="26" spans="1:12" ht="29.5" thickBot="1" x14ac:dyDescent="0.4">
      <c r="A26" s="38" t="s">
        <v>28</v>
      </c>
      <c r="B26" s="55">
        <f>VLOOKUP("T3_est47",CHAS!$C$1:$J$2762,2,FALSE)</f>
        <v>1730</v>
      </c>
      <c r="C26" s="55">
        <f>VLOOKUP("T3_est48",CHAS!$C$1:$J$2762,2,FALSE)</f>
        <v>755</v>
      </c>
      <c r="D26" s="55">
        <f>VLOOKUP("T3_est49",CHAS!$C$1:$J$2762,2,FALSE)</f>
        <v>520</v>
      </c>
      <c r="E26" s="55">
        <f>VLOOKUP("T3_est50",CHAS!$C$1:$J$2762,2,FALSE)</f>
        <v>245</v>
      </c>
      <c r="F26" s="55">
        <f>SUM(B26:E26)</f>
        <v>3250</v>
      </c>
      <c r="G26" s="55">
        <f>VLOOKUP("T3_est4",CHAS!$C$1:$J$2762,2,FALSE)</f>
        <v>345</v>
      </c>
      <c r="H26" s="52">
        <f>VLOOKUP("T3_est5",CHAS!$C$1:$J$2762,2,FALSE)</f>
        <v>270</v>
      </c>
      <c r="I26" s="55">
        <f>VLOOKUP("T3_est6",CHAS!$C$1:$J$2762,2,FALSE)</f>
        <v>335</v>
      </c>
      <c r="J26" s="55">
        <f>VLOOKUP("T3_est7",CHAS!$C$1:$J$2762,2,FALSE)</f>
        <v>265</v>
      </c>
      <c r="K26" s="55">
        <f>SUM(G26:J26)</f>
        <v>1215</v>
      </c>
    </row>
    <row r="27" spans="1:12" ht="29.5" thickBot="1" x14ac:dyDescent="0.4">
      <c r="A27" s="38" t="s">
        <v>3332</v>
      </c>
      <c r="B27" s="55">
        <f>VLOOKUP("T3_est53",CHAS!$C$1:$J$2762,2,FALSE)</f>
        <v>1150</v>
      </c>
      <c r="C27" s="55">
        <f>VLOOKUP("T3_est54",CHAS!$C$1:$J$2762,2,FALSE)</f>
        <v>955</v>
      </c>
      <c r="D27" s="55">
        <f>VLOOKUP("T3_est55",CHAS!$C$1:$J$2762,2,FALSE)</f>
        <v>790</v>
      </c>
      <c r="E27" s="55">
        <f>VLOOKUP("T3_est56",CHAS!$C$1:$J$2762,2,FALSE)</f>
        <v>230</v>
      </c>
      <c r="F27" s="55">
        <f>SUM(B27:E27)</f>
        <v>3125</v>
      </c>
      <c r="G27" s="56">
        <f>VLOOKUP("T3_est10",CHAS!$C$1:$J$2762,2,FALSE)</f>
        <v>240</v>
      </c>
      <c r="H27" s="56">
        <f>VLOOKUP("T3_est11",CHAS!$C$1:$J$2762,2,FALSE)</f>
        <v>395</v>
      </c>
      <c r="I27" s="56">
        <f>VLOOKUP("T3_est12",CHAS!$C$1:$J$2762,2,FALSE)</f>
        <v>455</v>
      </c>
      <c r="J27" s="56">
        <f>VLOOKUP("T3_est13",CHAS!$C$1:$J$2762,2,FALSE)</f>
        <v>215</v>
      </c>
      <c r="K27" s="55">
        <f t="shared" ref="K27:K31" si="1">SUM(G27:J27)</f>
        <v>1305</v>
      </c>
    </row>
    <row r="28" spans="1:12" ht="29.5" thickBot="1" x14ac:dyDescent="0.4">
      <c r="A28" s="38" t="s">
        <v>3333</v>
      </c>
      <c r="B28" s="55">
        <f>VLOOKUP("T3_est59",CHAS!$C$1:$J$2762,2,FALSE)</f>
        <v>3820</v>
      </c>
      <c r="C28" s="56">
        <f>VLOOKUP("T3_est60",CHAS!$C$1:$J$2762,2,FALSE)</f>
        <v>3510</v>
      </c>
      <c r="D28" s="55">
        <f>VLOOKUP("T3_est61",CHAS!$C$1:$J$2762,2,FALSE)</f>
        <v>2585</v>
      </c>
      <c r="E28" s="55">
        <f>VLOOKUP("T3_est62",CHAS!$C$1:$J$2762,2,FALSE)</f>
        <v>905</v>
      </c>
      <c r="F28" s="55">
        <f t="shared" ref="F28:F31" si="2">SUM(B28:E28)</f>
        <v>10820</v>
      </c>
      <c r="G28" s="55">
        <f>VLOOKUP("T3_est16",CHAS!$C$1:$J$2762,2,FALSE)</f>
        <v>895</v>
      </c>
      <c r="H28" s="52">
        <f>VLOOKUP("T3_est17",CHAS!$C$1:$J$2762,2,FALSE)</f>
        <v>1815</v>
      </c>
      <c r="I28" s="55">
        <f>VLOOKUP("T3_est18",CHAS!$C$1:$J$2762,2,FALSE)</f>
        <v>2390</v>
      </c>
      <c r="J28" s="55">
        <f>VLOOKUP("T3_est19",CHAS!$C$1:$J$2762,2,FALSE)</f>
        <v>1495</v>
      </c>
      <c r="K28" s="55">
        <f t="shared" si="1"/>
        <v>6595</v>
      </c>
    </row>
    <row r="29" spans="1:12" ht="29.5" thickBot="1" x14ac:dyDescent="0.4">
      <c r="A29" s="38" t="s">
        <v>29</v>
      </c>
      <c r="B29" s="55">
        <f>VLOOKUP("b25036_012",'ACS 2017'!$A$1:$F$388,2,FALSE)+VLOOKUP("b25036_008",'ACS 2017'!$A$1:$F$388,2,FALSE)+VLOOKUP("b25036_009",'ACS 2017'!$A$1:$F$388,2,FALSE)+VLOOKUP("b25036_010",'ACS 2017'!$A$1:$F$388,2,FALSE)+VLOOKUP("b25036_011",'ACS 2017'!$A$1:$F$388,2,FALSE)</f>
        <v>473524</v>
      </c>
      <c r="C29" s="55">
        <f>VLOOKUP("T3_est66",CHAS!$C$1:$J$2762,2,FALSE)</f>
        <v>13560</v>
      </c>
      <c r="D29" s="55">
        <f>VLOOKUP("b25036_023",'ACS 2017'!$A$1:$F$388,2,FALSE)+VLOOKUP("b25036_019",'ACS 2017'!$A$1:$F$388,2,FALSE)+VLOOKUP("b25036_020",'ACS 2017'!$A$1:$F$388,2,FALSE)+VLOOKUP("b25036_021",'ACS 2017'!$A$1:$F$388,2,FALSE)+VLOOKUP("b25036_022",'ACS 2017'!$A$1:$F$388,2,FALSE)</f>
        <v>191319</v>
      </c>
      <c r="E29" s="55">
        <f>VLOOKUP("T3_est68",CHAS!$C$1:$J$2762,2,FALSE)</f>
        <v>275</v>
      </c>
      <c r="F29" s="55">
        <f t="shared" si="2"/>
        <v>678678</v>
      </c>
      <c r="G29" s="56">
        <f>VLOOKUP("T3_est22",CHAS!$C$1:$J$2762,2,FALSE)</f>
        <v>36615</v>
      </c>
      <c r="H29" s="56">
        <f>VLOOKUP("T3_est23",CHAS!$C$1:$J$2762,2,FALSE)</f>
        <v>23455</v>
      </c>
      <c r="I29" s="56">
        <f>VLOOKUP("T3_est24",CHAS!$C$1:$J$2762,2,FALSE)</f>
        <v>14855</v>
      </c>
      <c r="J29" s="56">
        <f>VLOOKUP("T3_est25",CHAS!$C$1:$J$2762,2,FALSE)</f>
        <v>3555</v>
      </c>
      <c r="K29" s="55">
        <f t="shared" si="1"/>
        <v>78480</v>
      </c>
    </row>
    <row r="30" spans="1:12" ht="29.5" thickBot="1" x14ac:dyDescent="0.4">
      <c r="A30" s="38" t="s">
        <v>3334</v>
      </c>
      <c r="B30" s="55">
        <f>VLOOKUP("T3_est71",CHAS!$C$1:$J$2762,2,FALSE)</f>
        <v>5720</v>
      </c>
      <c r="C30" s="55">
        <f>VLOOKUP("T3_est72",CHAS!$C$1:$J$2762,2,FALSE)</f>
        <v>22560</v>
      </c>
      <c r="D30" s="55">
        <f>VLOOKUP("T3_est73",CHAS!$C$1:$J$2762,2,FALSE)</f>
        <v>16985</v>
      </c>
      <c r="E30" s="55">
        <f>VLOOKUP("T3_est74",CHAS!$C$1:$J$2762,2,FALSE)</f>
        <v>3200</v>
      </c>
      <c r="F30" s="55">
        <f t="shared" si="2"/>
        <v>48465</v>
      </c>
      <c r="G30" s="55">
        <f>VLOOKUP("T3_est28",CHAS!$C$1:$J$2762,2,FALSE)</f>
        <v>7540</v>
      </c>
      <c r="H30" s="55">
        <f>VLOOKUP("T3_est29",CHAS!$C$1:$J$2762,2,FALSE)</f>
        <v>20905</v>
      </c>
      <c r="I30" s="55">
        <f>VLOOKUP("T3_est30",CHAS!$C$1:$J$2762,2,FALSE)</f>
        <v>33770</v>
      </c>
      <c r="J30" s="55">
        <f>VLOOKUP("T3_est31",CHAS!$C$1:$J$2762,2,FALSE)</f>
        <v>17440</v>
      </c>
      <c r="K30" s="55">
        <f t="shared" si="1"/>
        <v>79655</v>
      </c>
      <c r="L30" s="64"/>
    </row>
    <row r="31" spans="1:12" ht="15" thickBot="1" x14ac:dyDescent="0.4">
      <c r="A31" s="14" t="s">
        <v>30</v>
      </c>
      <c r="B31" s="48">
        <f>VLOOKUP("T8_est81",CHAS!$C$1:$J$2762,2,FALSE)</f>
        <v>8795</v>
      </c>
      <c r="C31" s="48">
        <f>VLOOKUP("T8_est94",CHAS!$C$1:$J$2762,2,FALSE)</f>
        <v>0</v>
      </c>
      <c r="D31" s="48">
        <f>VLOOKUP("T8_est107",CHAS!$C$1:$J$2762,2,FALSE)</f>
        <v>0</v>
      </c>
      <c r="E31" s="48">
        <f>VLOOKUP("T8_est120",CHAS!$C$1:$J$2762,2,FALSE)</f>
        <v>0</v>
      </c>
      <c r="F31" s="55">
        <f t="shared" si="2"/>
        <v>8795</v>
      </c>
      <c r="G31" s="48">
        <f>VLOOKUP("T8_est15",CHAS!$C$1:$J$2762,2,FALSE)</f>
        <v>5560</v>
      </c>
      <c r="H31" s="48">
        <f>VLOOKUP("T8_est28",CHAS!$C$1:$J$2762,2,FALSE)</f>
        <v>0</v>
      </c>
      <c r="I31" s="48">
        <f>VLOOKUP("T8_est41",CHAS!$C$1:$J$2762,2,FALSE)</f>
        <v>0</v>
      </c>
      <c r="J31" s="48">
        <f>VLOOKUP("T8_est54",CHAS!$C$1:$J$2762,2,FALSE)</f>
        <v>0</v>
      </c>
      <c r="K31" s="55">
        <f t="shared" si="1"/>
        <v>5560</v>
      </c>
    </row>
    <row r="32" spans="1:12" x14ac:dyDescent="0.35">
      <c r="A32" s="12" t="s">
        <v>4171</v>
      </c>
    </row>
    <row r="35" spans="1:11" ht="15" thickBot="1" x14ac:dyDescent="0.4">
      <c r="A35" s="9" t="s">
        <v>170</v>
      </c>
    </row>
    <row r="36" spans="1:11" ht="15" thickBot="1" x14ac:dyDescent="0.4">
      <c r="A36" s="263"/>
      <c r="B36" s="265" t="s">
        <v>20</v>
      </c>
      <c r="C36" s="266"/>
      <c r="D36" s="266"/>
      <c r="E36" s="266"/>
      <c r="F36" s="267"/>
      <c r="G36" s="265" t="s">
        <v>21</v>
      </c>
      <c r="H36" s="266"/>
      <c r="I36" s="266"/>
      <c r="J36" s="266"/>
      <c r="K36" s="267"/>
    </row>
    <row r="37" spans="1:11" ht="15" thickBot="1" x14ac:dyDescent="0.4">
      <c r="A37" s="264"/>
      <c r="B37" s="16" t="s">
        <v>3328</v>
      </c>
      <c r="C37" s="16" t="s">
        <v>3329</v>
      </c>
      <c r="D37" s="16" t="s">
        <v>3330</v>
      </c>
      <c r="E37" s="16" t="s">
        <v>3331</v>
      </c>
      <c r="F37" s="16" t="s">
        <v>26</v>
      </c>
      <c r="G37" s="16" t="s">
        <v>3328</v>
      </c>
      <c r="H37" s="16" t="s">
        <v>3329</v>
      </c>
      <c r="I37" s="16" t="s">
        <v>3330</v>
      </c>
      <c r="J37" s="16" t="s">
        <v>3331</v>
      </c>
      <c r="K37" s="16" t="s">
        <v>26</v>
      </c>
    </row>
    <row r="38" spans="1:11" ht="15" thickBot="1" x14ac:dyDescent="0.4">
      <c r="A38" s="268" t="s">
        <v>27</v>
      </c>
      <c r="B38" s="269"/>
      <c r="C38" s="269"/>
      <c r="D38" s="269"/>
      <c r="E38" s="269"/>
      <c r="F38" s="269"/>
      <c r="G38" s="269"/>
      <c r="H38" s="269"/>
      <c r="I38" s="269"/>
      <c r="J38" s="269"/>
      <c r="K38" s="270"/>
    </row>
    <row r="39" spans="1:11" ht="15" thickBot="1" x14ac:dyDescent="0.4">
      <c r="A39" s="38" t="s">
        <v>31</v>
      </c>
      <c r="B39" s="115">
        <f>VLOOKUP("T5_est68",CHAS!$C$1:$J$2762,2,FALSE)</f>
        <v>56390</v>
      </c>
      <c r="C39" s="115">
        <f>VLOOKUP("T5_est72",CHAS!$C$1:$J$2762,2,FALSE)</f>
        <v>41335</v>
      </c>
      <c r="D39" s="115">
        <f>VLOOKUP("T5_est76",CHAS!$C$1:$J$2762,2,FALSE)</f>
        <v>23050</v>
      </c>
      <c r="E39" s="115">
        <f>VLOOKUP("T5_est80",CHAS!$C$1:$J$2762,2,FALSE)</f>
        <v>4865</v>
      </c>
      <c r="F39" s="55">
        <f t="shared" ref="F39:F40" si="3">SUM(B39:E39)</f>
        <v>125640</v>
      </c>
      <c r="G39" s="115">
        <f>VLOOKUP("T5_est4",CHAS!$C$1:$J$2762,2,FALSE)</f>
        <v>45640</v>
      </c>
      <c r="H39" s="115">
        <f>VLOOKUP("T5_est8",CHAS!$C$1:$J$2762,2,FALSE)</f>
        <v>46840</v>
      </c>
      <c r="I39" s="115">
        <f>VLOOKUP("T5_est12",CHAS!$C$1:$J$2762,2,FALSE)</f>
        <v>51810</v>
      </c>
      <c r="J39" s="115">
        <f>VLOOKUP("T5_est16",CHAS!$C$1:$J$2762,2,FALSE)</f>
        <v>22970</v>
      </c>
      <c r="K39" s="55">
        <f t="shared" ref="K39:K40" si="4">SUM(G39:J39)</f>
        <v>167260</v>
      </c>
    </row>
    <row r="40" spans="1:11" ht="15" thickBot="1" x14ac:dyDescent="0.4">
      <c r="A40" s="38" t="s">
        <v>32</v>
      </c>
      <c r="B40" s="115">
        <f>VLOOKUP("T5_est89",CHAS!$C$1:$J$2762,2,FALSE)</f>
        <v>6820</v>
      </c>
      <c r="C40" s="115">
        <f>VLOOKUP("T5_est93",CHAS!$C$1:$J$2762,2,FALSE)</f>
        <v>7155</v>
      </c>
      <c r="D40" s="115">
        <f>VLOOKUP("T5_est97",CHAS!$C$1:$J$2762,2,FALSE)</f>
        <v>30990</v>
      </c>
      <c r="E40" s="115">
        <f>VLOOKUP("T5_est101",CHAS!$C$1:$J$2762,2,FALSE)</f>
        <v>22450</v>
      </c>
      <c r="F40" s="55">
        <f t="shared" si="3"/>
        <v>67415</v>
      </c>
      <c r="G40" s="115">
        <f>VLOOKUP("T5_est25",CHAS!$C$1:$J$2762,2,FALSE)</f>
        <v>4085</v>
      </c>
      <c r="H40" s="115">
        <f>VLOOKUP("T5_est29",CHAS!$C$1:$J$2762,2,FALSE)</f>
        <v>19490</v>
      </c>
      <c r="I40" s="115">
        <f>VLOOKUP("T5_est33",CHAS!$C$1:$J$2762,2,FALSE)</f>
        <v>51085</v>
      </c>
      <c r="J40" s="115">
        <f>VLOOKUP("T5_est37",CHAS!$C$1:$J$2762,2,FALSE)</f>
        <v>46245</v>
      </c>
      <c r="K40" s="55">
        <f t="shared" si="4"/>
        <v>120905</v>
      </c>
    </row>
    <row r="41" spans="1:11" ht="29.5" thickBot="1" x14ac:dyDescent="0.4">
      <c r="A41" s="114" t="s">
        <v>33</v>
      </c>
      <c r="B41" s="48">
        <f>VLOOKUP("T8_est81",CHAS!$C$1:$J$2762,2,FALSE)</f>
        <v>8795</v>
      </c>
      <c r="C41" s="48">
        <f>VLOOKUP("T8_est94",CHAS!$C$1:$J$2762,2,FALSE)</f>
        <v>0</v>
      </c>
      <c r="D41" s="48">
        <f>VLOOKUP("T8_est107",CHAS!$C$1:$J$2762,2,FALSE)</f>
        <v>0</v>
      </c>
      <c r="E41" s="48">
        <f>VLOOKUP("T8_est120",CHAS!$C$1:$J$2762,2,FALSE)</f>
        <v>0</v>
      </c>
      <c r="F41" s="55">
        <f t="shared" ref="F41" si="5">SUM(B41:E41)</f>
        <v>8795</v>
      </c>
      <c r="G41" s="48">
        <f>VLOOKUP("T8_est15",CHAS!$C$1:$J$2762,2,FALSE)</f>
        <v>5560</v>
      </c>
      <c r="H41" s="48">
        <f>VLOOKUP("T8_est28",CHAS!$C$1:$J$2762,2,FALSE)</f>
        <v>0</v>
      </c>
      <c r="I41" s="48">
        <f>VLOOKUP("T8_est41",CHAS!$C$1:$J$2762,2,FALSE)</f>
        <v>0</v>
      </c>
      <c r="J41" s="48">
        <f>VLOOKUP("T8_est54",CHAS!$C$1:$J$2762,2,FALSE)</f>
        <v>0</v>
      </c>
      <c r="K41" s="55">
        <f t="shared" ref="K41" si="6">SUM(G41:J41)</f>
        <v>5560</v>
      </c>
    </row>
    <row r="42" spans="1:11" x14ac:dyDescent="0.35">
      <c r="A42" s="12" t="s">
        <v>4171</v>
      </c>
    </row>
    <row r="45" spans="1:11" ht="15" thickBot="1" x14ac:dyDescent="0.4">
      <c r="A45" s="9" t="s">
        <v>3335</v>
      </c>
    </row>
    <row r="46" spans="1:11" ht="15" thickBot="1" x14ac:dyDescent="0.4">
      <c r="A46" s="263"/>
      <c r="B46" s="265" t="s">
        <v>20</v>
      </c>
      <c r="C46" s="266"/>
      <c r="D46" s="266"/>
      <c r="E46" s="266"/>
      <c r="F46" s="265" t="s">
        <v>21</v>
      </c>
      <c r="G46" s="266"/>
      <c r="H46" s="266"/>
      <c r="I46" s="267"/>
    </row>
    <row r="47" spans="1:11" ht="15" thickBot="1" x14ac:dyDescent="0.4">
      <c r="A47" s="271"/>
      <c r="B47" s="16" t="s">
        <v>3328</v>
      </c>
      <c r="C47" s="16" t="s">
        <v>3329</v>
      </c>
      <c r="D47" s="16" t="s">
        <v>3330</v>
      </c>
      <c r="E47" s="13" t="s">
        <v>26</v>
      </c>
      <c r="F47" s="16" t="s">
        <v>3328</v>
      </c>
      <c r="G47" s="16" t="s">
        <v>3329</v>
      </c>
      <c r="H47" s="16" t="s">
        <v>3330</v>
      </c>
      <c r="I47" s="13" t="s">
        <v>26</v>
      </c>
    </row>
    <row r="48" spans="1:11" ht="15" thickBot="1" x14ac:dyDescent="0.4">
      <c r="A48" s="268" t="s">
        <v>27</v>
      </c>
      <c r="B48" s="269"/>
      <c r="C48" s="269"/>
      <c r="D48" s="269"/>
      <c r="E48" s="269"/>
      <c r="F48" s="269"/>
      <c r="G48" s="269"/>
      <c r="H48" s="269"/>
      <c r="I48" s="270"/>
    </row>
    <row r="49" spans="1:9" ht="15" thickBot="1" x14ac:dyDescent="0.4">
      <c r="A49" s="14" t="s">
        <v>34</v>
      </c>
      <c r="B49" s="15">
        <f>VLOOKUP("T7_est142",CHAS!$C$1:$J$2762,2,FALSE)</f>
        <v>2420</v>
      </c>
      <c r="C49" s="15">
        <f>VLOOKUP("T7_est168",CHAS!$C$1:$J$2762,2,FALSE)</f>
        <v>11095</v>
      </c>
      <c r="D49" s="15">
        <f>VLOOKUP("T7_est194",CHAS!$C$1:$J$2762,2,FALSE)</f>
        <v>7235</v>
      </c>
      <c r="E49" s="15">
        <f>SUM(B49:D49)</f>
        <v>20750</v>
      </c>
      <c r="F49" s="15">
        <f>VLOOKUP("T7_est11",CHAS!$C$1:$J$2762,2,FALSE)</f>
        <v>1315</v>
      </c>
      <c r="G49" s="15">
        <f>VLOOKUP("T7_est37",CHAS!$C$1:$J$2762,2,FALSE)</f>
        <v>5060</v>
      </c>
      <c r="H49" s="15">
        <f>VLOOKUP("T7_est63",CHAS!$C$1:$J$2762,2,FALSE)</f>
        <v>15175</v>
      </c>
      <c r="I49" s="15">
        <f>SUM(F49:H49)</f>
        <v>21550</v>
      </c>
    </row>
    <row r="50" spans="1:9" ht="15" thickBot="1" x14ac:dyDescent="0.4">
      <c r="A50" s="2" t="s">
        <v>35</v>
      </c>
      <c r="B50" s="3">
        <f>VLOOKUP("T7_est147",CHAS!$C$1:$J$2762,2,FALSE)</f>
        <v>1305</v>
      </c>
      <c r="C50" s="3">
        <f>VLOOKUP("T7_est173",CHAS!$C$1:$J$2762,2,FALSE)</f>
        <v>3540</v>
      </c>
      <c r="D50" s="3">
        <f>VLOOKUP("T7_est199",CHAS!$C$1:$J$2762,2,FALSE)</f>
        <v>1590</v>
      </c>
      <c r="E50" s="15">
        <f t="shared" ref="E50:E52" si="7">SUM(B50:D50)</f>
        <v>6435</v>
      </c>
      <c r="F50" s="3">
        <f>VLOOKUP("T7_est16",CHAS!$C$1:$J$2762,2,FALSE)</f>
        <v>570</v>
      </c>
      <c r="G50" s="3">
        <f>VLOOKUP("T7_est42",CHAS!$C$1:$J$2762,2,FALSE)</f>
        <v>2220</v>
      </c>
      <c r="H50" s="3">
        <f>VLOOKUP("T7_est68",CHAS!$C$1:$J$2762,2,FALSE)</f>
        <v>4615</v>
      </c>
      <c r="I50" s="15">
        <f t="shared" ref="I50:I52" si="8">SUM(F50:H50)</f>
        <v>7405</v>
      </c>
    </row>
    <row r="51" spans="1:9" ht="15" thickBot="1" x14ac:dyDescent="0.4">
      <c r="A51" s="2" t="s">
        <v>36</v>
      </c>
      <c r="B51" s="3">
        <f>VLOOKUP("T7_est137",CHAS!$C$1:$J$2762,2,FALSE) + VLOOKUP("T7_est152",CHAS!$C$1:$J$2762,2,FALSE)</f>
        <v>2305</v>
      </c>
      <c r="C51" s="3">
        <f>VLOOKUP("T7_est163",CHAS!$C$1:$J$2762,2,FALSE) + VLOOKUP("T7_est178",CHAS!$C$1:$J$2762,2,FALSE)</f>
        <v>4545</v>
      </c>
      <c r="D51" s="3">
        <f>VLOOKUP("T7_est189",CHAS!$C$1:$J$2762,2,FALSE) + VLOOKUP("T7_est204",CHAS!$C$1:$J$2762,2,FALSE)</f>
        <v>2610</v>
      </c>
      <c r="E51" s="15">
        <f t="shared" si="7"/>
        <v>9460</v>
      </c>
      <c r="F51" s="67">
        <f>VLOOKUP("T7_est6",CHAS!$C$1:$J$2762,2,FALSE) + VLOOKUP("T7_est21",CHAS!$C$1:$J$2762,2,FALSE)</f>
        <v>5175</v>
      </c>
      <c r="G51" s="67">
        <f>VLOOKUP("T7_est32",CHAS!$C$1:$J$2762,2,FALSE) + VLOOKUP("T7_est47",CHAS!$C$1:$J$2762,2,FALSE)</f>
        <v>12305</v>
      </c>
      <c r="H51" s="3">
        <f>VLOOKUP("T7_est58",CHAS!$C$1:$J$2762,2,FALSE) + VLOOKUP("T7_est73",CHAS!$C$1:$J$2762,2,FALSE)</f>
        <v>9855</v>
      </c>
      <c r="I51" s="15">
        <f t="shared" si="8"/>
        <v>27335</v>
      </c>
    </row>
    <row r="52" spans="1:9" ht="15" thickBot="1" x14ac:dyDescent="0.4">
      <c r="A52" s="2" t="s">
        <v>37</v>
      </c>
      <c r="B52" s="3">
        <f>VLOOKUP("T7_est157",CHAS!$C$1:$J$2762,2,FALSE)</f>
        <v>985</v>
      </c>
      <c r="C52" s="3">
        <f>VLOOKUP("T7_est183",CHAS!$C$1:$J$2762,2,FALSE)</f>
        <v>6105</v>
      </c>
      <c r="D52" s="3">
        <f>VLOOKUP("T7_est209",CHAS!$C$1:$J$2762,2,FALSE)</f>
        <v>6010</v>
      </c>
      <c r="E52" s="15">
        <f t="shared" si="7"/>
        <v>13100</v>
      </c>
      <c r="F52" s="3">
        <f>VLOOKUP("T7_est26",CHAS!$C$1:$J$2762,2,FALSE)</f>
        <v>730</v>
      </c>
      <c r="G52" s="3">
        <f>VLOOKUP("T7_est52",CHAS!$C$1:$J$2762,2,FALSE)</f>
        <v>2115</v>
      </c>
      <c r="H52" s="3">
        <f>VLOOKUP("T7_est78",CHAS!$C$1:$J$2762,2,FALSE)</f>
        <v>5250</v>
      </c>
      <c r="I52" s="15">
        <f t="shared" si="8"/>
        <v>8095</v>
      </c>
    </row>
    <row r="53" spans="1:9" ht="15" thickBot="1" x14ac:dyDescent="0.4">
      <c r="A53" s="2" t="s">
        <v>38</v>
      </c>
      <c r="B53" s="3">
        <f>SUM(B49:B52)</f>
        <v>7015</v>
      </c>
      <c r="C53" s="3">
        <f t="shared" ref="C53:D53" si="9">SUM(C49:C52)</f>
        <v>25285</v>
      </c>
      <c r="D53" s="3">
        <f t="shared" si="9"/>
        <v>17445</v>
      </c>
      <c r="E53" s="15">
        <f>SUM(B53:D53)</f>
        <v>49745</v>
      </c>
      <c r="F53" s="3">
        <f>SUM(F49:F52)</f>
        <v>7790</v>
      </c>
      <c r="G53" s="3">
        <f t="shared" ref="G53" si="10">SUM(G49:G52)</f>
        <v>21700</v>
      </c>
      <c r="H53" s="3">
        <f t="shared" ref="H53" si="11">SUM(H49:H52)</f>
        <v>34895</v>
      </c>
      <c r="I53" s="15">
        <f>SUM(F53:H53)</f>
        <v>64385</v>
      </c>
    </row>
    <row r="54" spans="1:9" x14ac:dyDescent="0.35">
      <c r="A54" s="12" t="s">
        <v>4171</v>
      </c>
      <c r="B54" s="64"/>
      <c r="C54" s="64"/>
      <c r="D54" s="64"/>
      <c r="F54" s="64"/>
      <c r="G54" s="64"/>
      <c r="H54" s="64"/>
      <c r="I54" s="64"/>
    </row>
    <row r="55" spans="1:9" x14ac:dyDescent="0.35">
      <c r="B55" s="64"/>
      <c r="C55" s="64"/>
      <c r="D55" s="64"/>
      <c r="F55" s="64"/>
      <c r="G55" s="64"/>
      <c r="H55" s="64"/>
      <c r="I55" s="64"/>
    </row>
    <row r="56" spans="1:9" x14ac:dyDescent="0.35">
      <c r="B56" s="64"/>
      <c r="C56" s="64"/>
      <c r="D56" s="64"/>
      <c r="F56" s="64"/>
      <c r="G56" s="64"/>
      <c r="H56" s="64"/>
      <c r="I56" s="64"/>
    </row>
    <row r="57" spans="1:9" ht="15" thickBot="1" x14ac:dyDescent="0.4">
      <c r="A57" s="9" t="s">
        <v>39</v>
      </c>
      <c r="B57" s="64"/>
      <c r="C57" s="64"/>
      <c r="D57" s="64"/>
      <c r="E57" s="64"/>
      <c r="F57" s="64"/>
      <c r="G57" s="64"/>
      <c r="H57" s="64"/>
      <c r="I57" s="64"/>
    </row>
    <row r="58" spans="1:9" ht="15" thickBot="1" x14ac:dyDescent="0.4">
      <c r="A58" s="263"/>
      <c r="B58" s="265" t="s">
        <v>20</v>
      </c>
      <c r="C58" s="266"/>
      <c r="D58" s="266"/>
      <c r="E58" s="266"/>
      <c r="F58" s="265" t="s">
        <v>21</v>
      </c>
      <c r="G58" s="266"/>
      <c r="H58" s="266"/>
      <c r="I58" s="267"/>
    </row>
    <row r="59" spans="1:9" ht="15" thickBot="1" x14ac:dyDescent="0.4">
      <c r="A59" s="271"/>
      <c r="B59" s="16" t="s">
        <v>3328</v>
      </c>
      <c r="C59" s="16" t="s">
        <v>3329</v>
      </c>
      <c r="D59" s="16" t="s">
        <v>3330</v>
      </c>
      <c r="E59" s="13" t="s">
        <v>26</v>
      </c>
      <c r="F59" s="16" t="s">
        <v>3328</v>
      </c>
      <c r="G59" s="16" t="s">
        <v>3329</v>
      </c>
      <c r="H59" s="16" t="s">
        <v>3330</v>
      </c>
      <c r="I59" s="13" t="s">
        <v>26</v>
      </c>
    </row>
    <row r="60" spans="1:9" ht="15" thickBot="1" x14ac:dyDescent="0.4">
      <c r="A60" s="268" t="s">
        <v>27</v>
      </c>
      <c r="B60" s="269"/>
      <c r="C60" s="269"/>
      <c r="D60" s="269"/>
      <c r="E60" s="269"/>
      <c r="F60" s="269"/>
      <c r="G60" s="269"/>
      <c r="H60" s="269"/>
      <c r="I60" s="270"/>
    </row>
    <row r="61" spans="1:9" ht="15" thickBot="1" x14ac:dyDescent="0.4">
      <c r="A61" s="14" t="s">
        <v>34</v>
      </c>
      <c r="B61" s="15">
        <f>VLOOKUP("T7_est143",CHAS!$C$1:$J$2762,2,FALSE)</f>
        <v>17720</v>
      </c>
      <c r="C61" s="15">
        <f>VLOOKUP("T7_est169",CHAS!$C$1:$J$2762,2,FALSE)</f>
        <v>5000</v>
      </c>
      <c r="D61" s="15">
        <f>VLOOKUP("T7_est195",CHAS!$C$1:$J$2762,2,FALSE)</f>
        <v>830</v>
      </c>
      <c r="E61" s="15">
        <f>SUM(B61:D61)</f>
        <v>23550</v>
      </c>
      <c r="F61" s="15">
        <f>VLOOKUP("T7_est12",CHAS!$C$1:$J$2762,2,FALSE)</f>
        <v>9390</v>
      </c>
      <c r="G61" s="15">
        <f>VLOOKUP("T7_est38",CHAS!$C$1:$J$2762,2,FALSE)</f>
        <v>7795</v>
      </c>
      <c r="H61" s="15">
        <f>VLOOKUP("T7_est64",CHAS!$C$1:$J$2762,2,FALSE)</f>
        <v>6285</v>
      </c>
      <c r="I61" s="15">
        <f>SUM(F61:H61)</f>
        <v>23470</v>
      </c>
    </row>
    <row r="62" spans="1:9" ht="15" thickBot="1" x14ac:dyDescent="0.4">
      <c r="A62" s="2" t="s">
        <v>35</v>
      </c>
      <c r="B62" s="3">
        <f>VLOOKUP("T7_est148",CHAS!$C$1:$J$2762,2,FALSE)</f>
        <v>4900</v>
      </c>
      <c r="C62" s="3">
        <f>VLOOKUP("T7_est174",CHAS!$C$1:$J$2762,2,FALSE)</f>
        <v>1125</v>
      </c>
      <c r="D62" s="3">
        <f>VLOOKUP("T7_est200",CHAS!$C$1:$J$2762,2,FALSE)</f>
        <v>45</v>
      </c>
      <c r="E62" s="15">
        <f t="shared" ref="E62:E64" si="12">SUM(B62:D62)</f>
        <v>6070</v>
      </c>
      <c r="F62" s="3">
        <f>VLOOKUP("T7_est17",CHAS!$C$1:$J$2762,2,FALSE)</f>
        <v>2630</v>
      </c>
      <c r="G62" s="3">
        <f>VLOOKUP("T7_est43",CHAS!$C$1:$J$2762,2,FALSE)</f>
        <v>2900</v>
      </c>
      <c r="H62" s="3">
        <f>VLOOKUP("T7_est69",CHAS!$C$1:$J$2762,2,FALSE)</f>
        <v>1325</v>
      </c>
      <c r="I62" s="15">
        <f t="shared" ref="I62:I64" si="13">SUM(F62:H62)</f>
        <v>6855</v>
      </c>
    </row>
    <row r="63" spans="1:9" ht="15" thickBot="1" x14ac:dyDescent="0.4">
      <c r="A63" s="2" t="s">
        <v>36</v>
      </c>
      <c r="B63" s="3">
        <f>VLOOKUP("T7_est138",CHAS!$C$1:$J$2762,2,FALSE) +VLOOKUP("T7_est153",CHAS!$C$1:$J$2762,2,FALSE)</f>
        <v>11580</v>
      </c>
      <c r="C63" s="3">
        <f>VLOOKUP("T7_est164",CHAS!$C$1:$J$2762,2,FALSE) +VLOOKUP("T7_est179",CHAS!$C$1:$J$2762,2,FALSE)</f>
        <v>4155</v>
      </c>
      <c r="D63" s="3">
        <f>VLOOKUP("T7_est190",CHAS!$C$1:$J$2762,2,FALSE) +VLOOKUP("T7_est205",CHAS!$C$1:$J$2762,2,FALSE)</f>
        <v>910</v>
      </c>
      <c r="E63" s="15">
        <f t="shared" si="12"/>
        <v>16645</v>
      </c>
      <c r="F63" s="3">
        <f>VLOOKUP("T7_est7",CHAS!$C$1:$J$2762,2,FALSE) +VLOOKUP("T7_est22",CHAS!$C$1:$J$2762,2,FALSE)</f>
        <v>18295</v>
      </c>
      <c r="G63" s="3">
        <f>VLOOKUP("T7_est33",CHAS!$C$1:$J$2762,2,FALSE) +VLOOKUP("T7_est48",CHAS!$C$1:$J$2762,2,FALSE)</f>
        <v>10360</v>
      </c>
      <c r="H63" s="3">
        <f>VLOOKUP("T7_est59",CHAS!$C$1:$J$2762,2,FALSE) +VLOOKUP("T7_est74",CHAS!$C$1:$J$2762,2,FALSE)</f>
        <v>4705</v>
      </c>
      <c r="I63" s="15">
        <f t="shared" si="13"/>
        <v>33360</v>
      </c>
    </row>
    <row r="64" spans="1:9" ht="15" thickBot="1" x14ac:dyDescent="0.4">
      <c r="A64" s="2" t="s">
        <v>37</v>
      </c>
      <c r="B64" s="3">
        <f>VLOOKUP("T7_est158",CHAS!$C$1:$J$2762,2,FALSE)</f>
        <v>14390</v>
      </c>
      <c r="C64" s="3">
        <f>VLOOKUP("T7_est184",CHAS!$C$1:$J$2762,2,FALSE)</f>
        <v>3990</v>
      </c>
      <c r="D64" s="3">
        <f>VLOOKUP("T7_est210",CHAS!$C$1:$J$2762,2,FALSE)</f>
        <v>545</v>
      </c>
      <c r="E64" s="15">
        <f t="shared" si="12"/>
        <v>18925</v>
      </c>
      <c r="F64" s="3">
        <f>VLOOKUP("T7_est27",CHAS!$C$1:$J$2762,2,FALSE)</f>
        <v>7245</v>
      </c>
      <c r="G64" s="3">
        <f>VLOOKUP("T7_est53",CHAS!$C$1:$J$2762,2,FALSE)</f>
        <v>3245</v>
      </c>
      <c r="H64" s="3">
        <f>VLOOKUP("T7_est79",CHAS!$C$1:$J$2762,2,FALSE)</f>
        <v>2765</v>
      </c>
      <c r="I64" s="15">
        <f t="shared" si="13"/>
        <v>13255</v>
      </c>
    </row>
    <row r="65" spans="1:11" ht="15" thickBot="1" x14ac:dyDescent="0.4">
      <c r="A65" s="2" t="s">
        <v>38</v>
      </c>
      <c r="B65" s="3">
        <f>SUM(B61:B64)</f>
        <v>48590</v>
      </c>
      <c r="C65" s="3">
        <f t="shared" ref="C65" si="14">SUM(C61:C64)</f>
        <v>14270</v>
      </c>
      <c r="D65" s="3">
        <f t="shared" ref="D65" si="15">SUM(D61:D64)</f>
        <v>2330</v>
      </c>
      <c r="E65" s="15">
        <f>SUM(B65:D65)</f>
        <v>65190</v>
      </c>
      <c r="F65" s="3">
        <f>SUM(F61:F64)</f>
        <v>37560</v>
      </c>
      <c r="G65" s="3">
        <f t="shared" ref="G65" si="16">SUM(G61:G64)</f>
        <v>24300</v>
      </c>
      <c r="H65" s="3">
        <f t="shared" ref="H65" si="17">SUM(H61:H64)</f>
        <v>15080</v>
      </c>
      <c r="I65" s="15">
        <f>SUM(F65:H65)</f>
        <v>76940</v>
      </c>
    </row>
    <row r="66" spans="1:11" x14ac:dyDescent="0.35">
      <c r="A66" s="12" t="s">
        <v>4171</v>
      </c>
    </row>
    <row r="69" spans="1:11" ht="15" thickBot="1" x14ac:dyDescent="0.4">
      <c r="A69" s="9" t="s">
        <v>4306</v>
      </c>
    </row>
    <row r="70" spans="1:11" ht="15" thickBot="1" x14ac:dyDescent="0.4">
      <c r="A70" s="263"/>
      <c r="B70" s="265" t="s">
        <v>20</v>
      </c>
      <c r="C70" s="266"/>
      <c r="D70" s="266"/>
      <c r="E70" s="266"/>
      <c r="F70" s="267"/>
      <c r="G70" s="265" t="s">
        <v>21</v>
      </c>
      <c r="H70" s="266"/>
      <c r="I70" s="266"/>
      <c r="J70" s="266"/>
      <c r="K70" s="267"/>
    </row>
    <row r="71" spans="1:11" ht="15" thickBot="1" x14ac:dyDescent="0.4">
      <c r="A71" s="271"/>
      <c r="B71" s="16" t="s">
        <v>3328</v>
      </c>
      <c r="C71" s="16" t="s">
        <v>3329</v>
      </c>
      <c r="D71" s="16" t="s">
        <v>3330</v>
      </c>
      <c r="E71" s="16" t="s">
        <v>3331</v>
      </c>
      <c r="F71" s="13" t="s">
        <v>26</v>
      </c>
      <c r="G71" s="16" t="s">
        <v>3328</v>
      </c>
      <c r="H71" s="16" t="s">
        <v>3329</v>
      </c>
      <c r="I71" s="16" t="s">
        <v>3330</v>
      </c>
      <c r="J71" s="16" t="s">
        <v>3331</v>
      </c>
      <c r="K71" s="13" t="s">
        <v>26</v>
      </c>
    </row>
    <row r="72" spans="1:11" ht="15" thickBot="1" x14ac:dyDescent="0.4">
      <c r="A72" s="18" t="s">
        <v>27</v>
      </c>
      <c r="B72" s="19"/>
      <c r="C72" s="19"/>
      <c r="D72" s="19"/>
      <c r="E72" s="19"/>
      <c r="F72" s="19"/>
      <c r="G72" s="19"/>
      <c r="H72" s="19"/>
      <c r="I72" s="19"/>
      <c r="J72" s="19"/>
      <c r="K72" s="20"/>
    </row>
    <row r="73" spans="1:11" ht="15" thickBot="1" x14ac:dyDescent="0.4">
      <c r="A73" s="14" t="s">
        <v>40</v>
      </c>
      <c r="B73" s="15">
        <f>VLOOKUP("T10_est90",CHAS!$C$1:$J$2762,2,FALSE) +VLOOKUP("T10_est111",CHAS!$C$1:$J$2762,2,FALSE)</f>
        <v>4440</v>
      </c>
      <c r="C73" s="15">
        <f>VLOOKUP("T10_est94",CHAS!$C$1:$J$2762,2,FALSE) +VLOOKUP("T10_est115",CHAS!$C$1:$J$2762,2,FALSE)</f>
        <v>3920</v>
      </c>
      <c r="D73" s="15">
        <f>VLOOKUP("T10_est98",CHAS!$C$1:$J$2762,2,FALSE) +VLOOKUP("T10_est119",CHAS!$C$1:$J$2762,2,FALSE)</f>
        <v>2770</v>
      </c>
      <c r="E73" s="15">
        <f>VLOOKUP("T10_est102",CHAS!$C$1:$J$2762,2,FALSE) +VLOOKUP("T10_est123",CHAS!$C$1:$J$2762,2,FALSE)</f>
        <v>915</v>
      </c>
      <c r="F73" s="15">
        <f>SUM(B73:E73)</f>
        <v>12045</v>
      </c>
      <c r="G73" s="15">
        <f>VLOOKUP("T10_est26",CHAS!$C$1:$J$2762,2,FALSE) +VLOOKUP("T10_est47",CHAS!$C$1:$J$2762,2,FALSE)</f>
        <v>935</v>
      </c>
      <c r="H73" s="15">
        <f>VLOOKUP("T10_est30",CHAS!$C$1:$J$2762,2,FALSE) +VLOOKUP("T10_est51",CHAS!$C$1:$J$2762,2,FALSE)</f>
        <v>1750</v>
      </c>
      <c r="I73" s="15">
        <f>VLOOKUP("T10_est34",CHAS!$C$1:$J$2762,2,FALSE) +VLOOKUP("T10_est55",CHAS!$C$1:$J$2762,2,FALSE)</f>
        <v>1995</v>
      </c>
      <c r="J73" s="15">
        <f>VLOOKUP("T10_est38",CHAS!$C$1:$J$2762,2,FALSE) +VLOOKUP("T10_est59",CHAS!$C$1:$J$2762,2,FALSE)</f>
        <v>1170</v>
      </c>
      <c r="K73" s="15">
        <f t="shared" ref="K73:K76" si="18">SUM(G73:J73)</f>
        <v>5850</v>
      </c>
    </row>
    <row r="74" spans="1:11" ht="15" thickBot="1" x14ac:dyDescent="0.4">
      <c r="A74" s="2" t="s">
        <v>41</v>
      </c>
      <c r="B74" s="3">
        <f>VLOOKUP("T10_est91",CHAS!$C$1:$J$2762,2,FALSE) +VLOOKUP("T10_est112",CHAS!$C$1:$J$2762,2,FALSE)</f>
        <v>515</v>
      </c>
      <c r="C74" s="15">
        <f>VLOOKUP("T10_est95",CHAS!$C$1:$J$2762,2,FALSE) +VLOOKUP("T10_est116",CHAS!$C$1:$J$2762,2,FALSE)</f>
        <v>500</v>
      </c>
      <c r="D74" s="15">
        <f>VLOOKUP("T10_est99",CHAS!$C$1:$J$2762,2,FALSE) +VLOOKUP("T10_est120",CHAS!$C$1:$J$2762,2,FALSE)</f>
        <v>550</v>
      </c>
      <c r="E74" s="15">
        <f>VLOOKUP("T10_est103",CHAS!$C$1:$J$2762,2,FALSE) +VLOOKUP("T10_est124",CHAS!$C$1:$J$2762,2,FALSE)</f>
        <v>190</v>
      </c>
      <c r="F74" s="15">
        <f t="shared" ref="F74:F76" si="19">SUM(B74:E74)</f>
        <v>1755</v>
      </c>
      <c r="G74" s="3">
        <f>VLOOKUP("T10_est27",CHAS!$C$1:$J$2762,2,FALSE) +VLOOKUP("T10_est48",CHAS!$C$1:$J$2762,2,FALSE)</f>
        <v>205</v>
      </c>
      <c r="H74" s="15">
        <f>VLOOKUP("T10_est31",CHAS!$C$1:$J$2762,2,FALSE) +VLOOKUP("T10_est52",CHAS!$C$1:$J$2762,2,FALSE)</f>
        <v>425</v>
      </c>
      <c r="I74" s="3">
        <f>VLOOKUP("T10_est35",CHAS!$C$1:$J$2762,2,FALSE) +VLOOKUP("T10_est56",CHAS!$C$1:$J$2762,2,FALSE)</f>
        <v>840</v>
      </c>
      <c r="J74" s="15">
        <f>VLOOKUP("T10_est39",CHAS!$C$1:$J$2762,2,FALSE) +VLOOKUP("T10_est60",CHAS!$C$1:$J$2762,2,FALSE)</f>
        <v>525</v>
      </c>
      <c r="K74" s="15">
        <f t="shared" si="18"/>
        <v>1995</v>
      </c>
    </row>
    <row r="75" spans="1:11" ht="15" thickBot="1" x14ac:dyDescent="0.4">
      <c r="A75" s="2" t="s">
        <v>42</v>
      </c>
      <c r="B75" s="15">
        <f>VLOOKUP("T10_est92",CHAS!$C$1:$J$2762,2,FALSE) +VLOOKUP("T10_est113",CHAS!$C$1:$J$2762,2,FALSE)</f>
        <v>40</v>
      </c>
      <c r="C75" s="15">
        <f>VLOOKUP("T10_est96",CHAS!$C$1:$J$2762,2,FALSE) +VLOOKUP("T10_est117",CHAS!$C$1:$J$2762,2,FALSE)</f>
        <v>70</v>
      </c>
      <c r="D75" s="15">
        <f>VLOOKUP("T10_est100",CHAS!$C$1:$J$2762,2,FALSE) +VLOOKUP("T10_est121",CHAS!$C$1:$J$2762,2,FALSE)</f>
        <v>65</v>
      </c>
      <c r="E75" s="15">
        <f>VLOOKUP("T10_est104",CHAS!$C$1:$J$2762,2,FALSE) +VLOOKUP("T10_est125",CHAS!$C$1:$J$2762,2,FALSE)</f>
        <v>45</v>
      </c>
      <c r="F75" s="15">
        <f t="shared" si="19"/>
        <v>220</v>
      </c>
      <c r="G75" s="15">
        <f>VLOOKUP("T10_est28",CHAS!$C$1:$J$2762,2,FALSE) +VLOOKUP("T10_est49",CHAS!$C$1:$J$2762,2,FALSE)</f>
        <v>0</v>
      </c>
      <c r="H75" s="15">
        <f>VLOOKUP("T10_est32",CHAS!$C$1:$J$2762,2,FALSE) +VLOOKUP("T10_est53",CHAS!$C$1:$J$2762,2,FALSE)</f>
        <v>30</v>
      </c>
      <c r="I75" s="3">
        <f>VLOOKUP("T10_est36",CHAS!$C$1:$J$2762,2,FALSE) +VLOOKUP("T10_est57",CHAS!$C$1:$J$2762,2,FALSE)</f>
        <v>25</v>
      </c>
      <c r="J75" s="15">
        <f>VLOOKUP("T10_est40",CHAS!$C$1:$J$2762,2,FALSE) +VLOOKUP("T10_est61",CHAS!$C$1:$J$2762,2,FALSE)</f>
        <v>10</v>
      </c>
      <c r="K75" s="15">
        <f t="shared" si="18"/>
        <v>65</v>
      </c>
    </row>
    <row r="76" spans="1:11" ht="15" thickBot="1" x14ac:dyDescent="0.4">
      <c r="A76" s="2" t="s">
        <v>38</v>
      </c>
      <c r="B76" s="3">
        <f>SUM(B73:B75)</f>
        <v>4995</v>
      </c>
      <c r="C76" s="3">
        <f t="shared" ref="C76:E76" si="20">SUM(C73:C75)</f>
        <v>4490</v>
      </c>
      <c r="D76" s="3">
        <f t="shared" si="20"/>
        <v>3385</v>
      </c>
      <c r="E76" s="3">
        <f t="shared" si="20"/>
        <v>1150</v>
      </c>
      <c r="F76" s="15">
        <f t="shared" si="19"/>
        <v>14020</v>
      </c>
      <c r="G76" s="3">
        <f>SUM(G73:G75)</f>
        <v>1140</v>
      </c>
      <c r="H76" s="3">
        <f t="shared" ref="H76" si="21">SUM(H73:H75)</f>
        <v>2205</v>
      </c>
      <c r="I76" s="3">
        <f t="shared" ref="I76" si="22">SUM(I73:I75)</f>
        <v>2860</v>
      </c>
      <c r="J76" s="3">
        <f t="shared" ref="J76" si="23">SUM(J73:J75)</f>
        <v>1705</v>
      </c>
      <c r="K76" s="15">
        <f t="shared" si="18"/>
        <v>7910</v>
      </c>
    </row>
    <row r="77" spans="1:11" x14ac:dyDescent="0.35">
      <c r="A77" s="12" t="s">
        <v>4171</v>
      </c>
    </row>
    <row r="80" spans="1:11" ht="15" thickBot="1" x14ac:dyDescent="0.4">
      <c r="A80" s="9" t="s">
        <v>4307</v>
      </c>
      <c r="B80" s="224"/>
      <c r="C80" s="224"/>
      <c r="D80" s="224"/>
      <c r="E80" s="224"/>
      <c r="F80" s="224"/>
      <c r="G80" s="224"/>
      <c r="H80" s="224"/>
      <c r="I80" s="224"/>
      <c r="J80" s="224"/>
    </row>
    <row r="81" spans="1:9" ht="15" thickBot="1" x14ac:dyDescent="0.4">
      <c r="A81" s="263"/>
      <c r="B81" s="265" t="s">
        <v>20</v>
      </c>
      <c r="C81" s="266"/>
      <c r="D81" s="266"/>
      <c r="E81" s="267"/>
      <c r="F81" s="265" t="s">
        <v>21</v>
      </c>
      <c r="G81" s="266"/>
      <c r="H81" s="266"/>
      <c r="I81" s="267"/>
    </row>
    <row r="82" spans="1:9" ht="15" thickBot="1" x14ac:dyDescent="0.4">
      <c r="A82" s="271"/>
      <c r="B82" s="202" t="s">
        <v>22</v>
      </c>
      <c r="C82" s="202" t="s">
        <v>23</v>
      </c>
      <c r="D82" s="202" t="s">
        <v>24</v>
      </c>
      <c r="E82" s="202" t="s">
        <v>26</v>
      </c>
      <c r="F82" s="202" t="s">
        <v>22</v>
      </c>
      <c r="G82" s="202" t="s">
        <v>23</v>
      </c>
      <c r="H82" s="202" t="s">
        <v>24</v>
      </c>
      <c r="I82" s="202" t="s">
        <v>26</v>
      </c>
    </row>
    <row r="83" spans="1:9" ht="15" thickBot="1" x14ac:dyDescent="0.4">
      <c r="A83" s="54" t="s">
        <v>327</v>
      </c>
      <c r="B83" s="162">
        <f>(B73+B74)*0.365212</f>
        <v>1809.62546</v>
      </c>
      <c r="C83" s="162">
        <f t="shared" ref="C83:E83" si="24">(C73+C74)*0.365212</f>
        <v>1614.23704</v>
      </c>
      <c r="D83" s="162">
        <f t="shared" si="24"/>
        <v>1212.5038399999999</v>
      </c>
      <c r="E83" s="162">
        <f>(F73+F74)*0.365212</f>
        <v>5039.9255999999996</v>
      </c>
      <c r="F83" s="162">
        <f>(G73+G74)*0.338708</f>
        <v>386.12711999999999</v>
      </c>
      <c r="G83" s="162">
        <f>(H73+H74)*0.338708</f>
        <v>736.68989999999997</v>
      </c>
      <c r="H83" s="162">
        <f>(I73+I74)*0.338708</f>
        <v>960.23718000000008</v>
      </c>
      <c r="I83" s="162">
        <f>(K73+K74)*0.338708</f>
        <v>2657.16426</v>
      </c>
    </row>
    <row r="84" spans="1:9" ht="58" x14ac:dyDescent="0.35">
      <c r="A84" s="17" t="s">
        <v>4308</v>
      </c>
    </row>
  </sheetData>
  <mergeCells count="22">
    <mergeCell ref="A81:A82"/>
    <mergeCell ref="B81:E81"/>
    <mergeCell ref="F81:I81"/>
    <mergeCell ref="A58:A59"/>
    <mergeCell ref="B58:E58"/>
    <mergeCell ref="F58:I58"/>
    <mergeCell ref="A70:A71"/>
    <mergeCell ref="B70:F70"/>
    <mergeCell ref="A60:I60"/>
    <mergeCell ref="G70:K70"/>
    <mergeCell ref="A38:K38"/>
    <mergeCell ref="A46:A47"/>
    <mergeCell ref="B46:E46"/>
    <mergeCell ref="F46:I46"/>
    <mergeCell ref="A48:I48"/>
    <mergeCell ref="A23:A24"/>
    <mergeCell ref="B23:F23"/>
    <mergeCell ref="G23:K23"/>
    <mergeCell ref="A25:K25"/>
    <mergeCell ref="A36:A37"/>
    <mergeCell ref="B36:F36"/>
    <mergeCell ref="G36:K36"/>
  </mergeCells>
  <pageMargins left="0.7" right="0.7" top="0.75" bottom="0.75" header="0.3" footer="0.3"/>
  <pageSetup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49"/>
  <sheetViews>
    <sheetView zoomScaleNormal="100" workbookViewId="0">
      <selection activeCell="A5" sqref="A5:D7"/>
    </sheetView>
  </sheetViews>
  <sheetFormatPr defaultRowHeight="14.5" x14ac:dyDescent="0.35"/>
  <cols>
    <col min="1" max="1" width="33.81640625" customWidth="1"/>
    <col min="2" max="2" width="39.1796875" bestFit="1" customWidth="1"/>
    <col min="3" max="3" width="36.1796875" bestFit="1" customWidth="1"/>
    <col min="4" max="4" width="70.54296875" customWidth="1"/>
  </cols>
  <sheetData>
    <row r="1" spans="1:4" x14ac:dyDescent="0.35">
      <c r="A1" s="35" t="s">
        <v>43</v>
      </c>
      <c r="B1" s="37"/>
    </row>
    <row r="3" spans="1:4" ht="15" thickBot="1" x14ac:dyDescent="0.4">
      <c r="A3" s="9" t="s">
        <v>44</v>
      </c>
    </row>
    <row r="4" spans="1:4" ht="15" thickBot="1" x14ac:dyDescent="0.4">
      <c r="A4" s="21" t="s">
        <v>45</v>
      </c>
      <c r="B4" s="1" t="s">
        <v>46</v>
      </c>
      <c r="C4" s="121" t="s">
        <v>47</v>
      </c>
      <c r="D4" s="121" t="s">
        <v>48</v>
      </c>
    </row>
    <row r="5" spans="1:4" ht="15" thickBot="1" x14ac:dyDescent="0.4">
      <c r="A5" s="7" t="s">
        <v>49</v>
      </c>
      <c r="B5" s="117">
        <f>VLOOKUP("T1_est4",CHAS!$C$1:$J$2762,2,FALSE) +VLOOKUP("T1_est128",CHAS!$C$1:$J$2762,2,FALSE)</f>
        <v>102030</v>
      </c>
      <c r="C5" s="117">
        <f>VLOOKUP("T1_est45",CHAS!$C$1:$J$2762,2,FALSE) +VLOOKUP("T1_est169",CHAS!$C$1:$J$2762,2,FALSE)</f>
        <v>10905</v>
      </c>
      <c r="D5" s="116">
        <f>VLOOKUP("T1_est86",CHAS!$C$1:$J$2762,2,FALSE)+VLOOKUP("T1_est210",CHAS!$C$1:$J$2762,2,FALSE)</f>
        <v>14075</v>
      </c>
    </row>
    <row r="6" spans="1:4" ht="15" thickBot="1" x14ac:dyDescent="0.4">
      <c r="A6" s="122" t="s">
        <v>50</v>
      </c>
      <c r="B6" s="116">
        <f>VLOOKUP("T1_est5",CHAS!$C$1:$J$2762,2,FALSE) +VLOOKUP("T1_est129",CHAS!$C$1:$J$2762,2,FALSE)</f>
        <v>50670</v>
      </c>
      <c r="C6" s="116">
        <f>VLOOKUP("T1_est46",CHAS!$C$1:$J$2762,2,FALSE) +VLOOKUP("T1_est170",CHAS!$C$1:$J$2762,2,FALSE)</f>
        <v>6460</v>
      </c>
      <c r="D6" s="116">
        <f>VLOOKUP("T1_est87",CHAS!$C$1:$J$2762,2,FALSE)+VLOOKUP("T1_est211",CHAS!$C$1:$J$2762,2,FALSE)</f>
        <v>6025</v>
      </c>
    </row>
    <row r="7" spans="1:4" ht="15" thickBot="1" x14ac:dyDescent="0.4">
      <c r="A7" s="122" t="s">
        <v>51</v>
      </c>
      <c r="B7" s="116">
        <f>VLOOKUP("T1_est6",CHAS!$C$1:$J$2762,2,FALSE) +VLOOKUP("T1_est130",CHAS!$C$1:$J$2762,2,FALSE)</f>
        <v>27180</v>
      </c>
      <c r="C7" s="118">
        <f>VLOOKUP("T1_est47",CHAS!$C$1:$J$2762,2,FALSE) +VLOOKUP("T1_est171",CHAS!$C$1:$J$2762,2,FALSE)</f>
        <v>2650</v>
      </c>
      <c r="D7" s="116">
        <f>VLOOKUP("T1_est88",CHAS!$C$1:$J$2762,2,FALSE)+VLOOKUP("T1_est212",CHAS!$C$1:$J$2762,2,FALSE)</f>
        <v>5575</v>
      </c>
    </row>
    <row r="8" spans="1:4" ht="15" thickBot="1" x14ac:dyDescent="0.4">
      <c r="A8" s="122" t="s">
        <v>52</v>
      </c>
      <c r="B8" s="116">
        <f>VLOOKUP("T1_est7",CHAS!$C$1:$J$2762,2,FALSE) +VLOOKUP("T1_est131",CHAS!$C$1:$J$2762,2,FALSE)</f>
        <v>4675</v>
      </c>
      <c r="C8" s="124">
        <f>VLOOKUP("T1_est48",CHAS!$C$1:$J$2762,2,FALSE) +VLOOKUP("T1_est172",CHAS!$C$1:$J$2762,2,FALSE)</f>
        <v>565</v>
      </c>
      <c r="D8" s="67">
        <f>VLOOKUP("T1_est89",CHAS!$C$1:$J$2762,2,FALSE)+VLOOKUP("T1_est213",CHAS!$C$1:$J$2762,2,FALSE)</f>
        <v>965</v>
      </c>
    </row>
    <row r="9" spans="1:4" ht="15" thickBot="1" x14ac:dyDescent="0.4">
      <c r="A9" s="122" t="s">
        <v>53</v>
      </c>
      <c r="B9" s="67">
        <f>VLOOKUP("T1_est8",CHAS!$C$1:$J$2762,2,FALSE) +VLOOKUP("T1_est132",CHAS!$C$1:$J$2762,2,FALSE)</f>
        <v>260</v>
      </c>
      <c r="C9" s="124">
        <f>VLOOKUP("T1_est49",CHAS!$C$1:$J$2762,2,FALSE) +VLOOKUP("T1_est173",CHAS!$C$1:$J$2762,2,FALSE)</f>
        <v>10</v>
      </c>
      <c r="D9" s="67">
        <f>VLOOKUP("T1_est90",CHAS!$C$1:$J$2762,2,FALSE)+VLOOKUP("T1_est214",CHAS!$C$1:$J$2762,2,FALSE)</f>
        <v>0</v>
      </c>
    </row>
    <row r="10" spans="1:4" ht="15" thickBot="1" x14ac:dyDescent="0.4">
      <c r="A10" s="122" t="s">
        <v>54</v>
      </c>
      <c r="B10" s="67">
        <f>VLOOKUP("T1_est9",CHAS!$C$1:$J$2762,2,FALSE) +VLOOKUP("T1_est133",CHAS!$C$1:$J$2762,2,FALSE)</f>
        <v>0</v>
      </c>
      <c r="C10" s="124">
        <f>VLOOKUP("T1_est50",CHAS!$C$1:$J$2762,2,FALSE) +VLOOKUP("T1_est174",CHAS!$C$1:$J$2762,2,FALSE)</f>
        <v>0</v>
      </c>
      <c r="D10" s="67">
        <f>VLOOKUP("T1_est91",CHAS!$C$1:$J$2762,2,FALSE)+VLOOKUP("T1_est215",CHAS!$C$1:$J$2762,2,FALSE)</f>
        <v>0</v>
      </c>
    </row>
    <row r="11" spans="1:4" ht="15" thickBot="1" x14ac:dyDescent="0.4">
      <c r="A11" s="123" t="s">
        <v>55</v>
      </c>
      <c r="B11" s="116">
        <f>VLOOKUP("T1_est10",CHAS!$C$1:$J$2762,2,FALSE) +VLOOKUP("T1_est134",CHAS!$C$1:$J$2762,2,FALSE)</f>
        <v>17900</v>
      </c>
      <c r="C11" s="124">
        <f>VLOOKUP("T1_est51",CHAS!$C$1:$J$2762,2,FALSE) +VLOOKUP("T1_est175",CHAS!$C$1:$J$2762,2,FALSE)</f>
        <v>1140</v>
      </c>
      <c r="D11" s="67">
        <f>VLOOKUP("T1_est92",CHAS!$C$1:$J$2762,2,FALSE)+VLOOKUP("T1_est216",CHAS!$C$1:$J$2762,2,FALSE)</f>
        <v>1320</v>
      </c>
    </row>
    <row r="12" spans="1:4" s="189" customFormat="1" ht="15" thickBot="1" x14ac:dyDescent="0.4">
      <c r="A12" s="192" t="s">
        <v>37</v>
      </c>
      <c r="B12" s="116">
        <f>VLOOKUP("T1_est11",CHAS!$C$1:$J$2762,2,FALSE) +VLOOKUP("T1_est135",CHAS!$C$1:$J$2762,2,FALSE)</f>
        <v>1340</v>
      </c>
      <c r="C12" s="124">
        <f>VLOOKUP("T1_est52",CHAS!$C$1:$J$2762,2,FALSE) +VLOOKUP("T1_est176",CHAS!$C$1:$J$2762,2,FALSE)</f>
        <v>80</v>
      </c>
      <c r="D12" s="67">
        <f>VLOOKUP("T1_est93",CHAS!$C$1:$J$2762,2,FALSE)+VLOOKUP("T1_est217",CHAS!$C$1:$J$2762,2,FALSE)</f>
        <v>185</v>
      </c>
    </row>
    <row r="13" spans="1:4" x14ac:dyDescent="0.35">
      <c r="A13" s="12" t="s">
        <v>4171</v>
      </c>
      <c r="B13" s="64"/>
      <c r="C13" s="64"/>
      <c r="D13" s="64"/>
    </row>
    <row r="15" spans="1:4" ht="15" thickBot="1" x14ac:dyDescent="0.4">
      <c r="A15" s="9" t="s">
        <v>171</v>
      </c>
    </row>
    <row r="16" spans="1:4" ht="15" thickBot="1" x14ac:dyDescent="0.4">
      <c r="A16" s="21" t="s">
        <v>45</v>
      </c>
      <c r="B16" s="121" t="s">
        <v>46</v>
      </c>
      <c r="C16" s="121" t="s">
        <v>47</v>
      </c>
      <c r="D16" s="1" t="s">
        <v>48</v>
      </c>
    </row>
    <row r="17" spans="1:4" ht="15" thickBot="1" x14ac:dyDescent="0.4">
      <c r="A17" s="38" t="s">
        <v>49</v>
      </c>
      <c r="B17" s="116">
        <f>VLOOKUP("T1_est12",CHAS!$C$1:$J$2762,2,FALSE) +VLOOKUP("T1_est136",CHAS!$C$1:$J$2762,2,FALSE)</f>
        <v>88175</v>
      </c>
      <c r="C17" s="116">
        <f>VLOOKUP("T1_est53",CHAS!$C$1:$J$2762,2,FALSE) +VLOOKUP("T1_est177",CHAS!$C$1:$J$2762,2,FALSE)</f>
        <v>26645</v>
      </c>
      <c r="D17" s="15">
        <f>VLOOKUP("T1_est94",CHAS!$C$1:$J$2762,2,FALSE) +VLOOKUP("T1_est218",CHAS!$C$1:$J$2762,2,FALSE)</f>
        <v>0</v>
      </c>
    </row>
    <row r="18" spans="1:4" ht="15" thickBot="1" x14ac:dyDescent="0.4">
      <c r="A18" s="38" t="s">
        <v>50</v>
      </c>
      <c r="B18" s="116">
        <f>VLOOKUP("T1_est13",CHAS!$C$1:$J$2762,2,FALSE) +VLOOKUP("T1_est137",CHAS!$C$1:$J$2762,2,FALSE)</f>
        <v>45975</v>
      </c>
      <c r="C18" s="116">
        <f>VLOOKUP("T1_est54",CHAS!$C$1:$J$2762,2,FALSE) +VLOOKUP("T1_est178",CHAS!$C$1:$J$2762,2,FALSE)</f>
        <v>17310</v>
      </c>
      <c r="D18" s="3">
        <f>VLOOKUP("T1_est95",CHAS!$C$1:$J$2762,2,FALSE) +VLOOKUP("T1_est219",CHAS!$C$1:$J$2762,2,FALSE)</f>
        <v>0</v>
      </c>
    </row>
    <row r="19" spans="1:4" ht="15" thickBot="1" x14ac:dyDescent="0.4">
      <c r="A19" s="38" t="s">
        <v>51</v>
      </c>
      <c r="B19" s="116">
        <f>VLOOKUP("T1_est14",CHAS!$C$1:$J$2762,2,FALSE) +VLOOKUP("T1_est138",CHAS!$C$1:$J$2762,2,FALSE)</f>
        <v>17880</v>
      </c>
      <c r="C19" s="116">
        <f>VLOOKUP("T1_est55",CHAS!$C$1:$J$2762,2,FALSE) +VLOOKUP("T1_est179",CHAS!$C$1:$J$2762,2,FALSE)</f>
        <v>3390</v>
      </c>
      <c r="D19" s="3">
        <f>VLOOKUP("T1_est96",CHAS!$C$1:$J$2762,2,FALSE) +VLOOKUP("T1_est220",CHAS!$C$1:$J$2762,2,FALSE)</f>
        <v>0</v>
      </c>
    </row>
    <row r="20" spans="1:4" ht="15" thickBot="1" x14ac:dyDescent="0.4">
      <c r="A20" s="38" t="s">
        <v>52</v>
      </c>
      <c r="B20" s="116">
        <f>VLOOKUP("T1_est15",CHAS!$C$1:$J$2762,2,FALSE) +VLOOKUP("T1_est139",CHAS!$C$1:$J$2762,2,FALSE)</f>
        <v>4610</v>
      </c>
      <c r="C20" s="67">
        <f>VLOOKUP("T1_est56",CHAS!$C$1:$J$2762,2,FALSE) +VLOOKUP("T1_est180",CHAS!$C$1:$J$2762,2,FALSE)</f>
        <v>775</v>
      </c>
      <c r="D20" s="3">
        <f>VLOOKUP("T1_est97",CHAS!$C$1:$J$2762,2,FALSE) +VLOOKUP("T1_est221",CHAS!$C$1:$J$2762,2,FALSE)</f>
        <v>0</v>
      </c>
    </row>
    <row r="21" spans="1:4" ht="15" thickBot="1" x14ac:dyDescent="0.4">
      <c r="A21" s="122" t="s">
        <v>53</v>
      </c>
      <c r="B21" s="67">
        <f>VLOOKUP("T1_est16",CHAS!$C$1:$J$2762,2,FALSE) +VLOOKUP("T1_est140",CHAS!$C$1:$J$2762,2,FALSE)</f>
        <v>60</v>
      </c>
      <c r="C21" s="67">
        <f>VLOOKUP("T1_est57",CHAS!$C$1:$J$2762,2,FALSE) +VLOOKUP("T1_est181",CHAS!$C$1:$J$2762,2,FALSE)</f>
        <v>30</v>
      </c>
      <c r="D21" s="3">
        <f>VLOOKUP("T1_est98",CHAS!$C$1:$J$2762,2,FALSE) +VLOOKUP("T1_est222",CHAS!$C$1:$J$2762,2,FALSE)</f>
        <v>0</v>
      </c>
    </row>
    <row r="22" spans="1:4" ht="15" thickBot="1" x14ac:dyDescent="0.4">
      <c r="A22" s="38" t="s">
        <v>54</v>
      </c>
      <c r="B22" s="67">
        <f>VLOOKUP("T1_est17",CHAS!$C$1:$J$2762,2,FALSE) +VLOOKUP("T1_est141",CHAS!$C$1:$J$2762,2,FALSE)</f>
        <v>45</v>
      </c>
      <c r="C22" s="67">
        <f>VLOOKUP("T1_est58",CHAS!$C$1:$J$2762,2,FALSE) +VLOOKUP("T1_est182",CHAS!$C$1:$J$2762,2,FALSE)</f>
        <v>0</v>
      </c>
      <c r="D22" s="3">
        <f>VLOOKUP("T1_est99",CHAS!$C$1:$J$2762,2,FALSE) +VLOOKUP("T1_est223",CHAS!$C$1:$J$2762,2,FALSE)</f>
        <v>0</v>
      </c>
    </row>
    <row r="23" spans="1:4" ht="15" thickBot="1" x14ac:dyDescent="0.4">
      <c r="A23" s="38" t="s">
        <v>55</v>
      </c>
      <c r="B23" s="116">
        <f>VLOOKUP("T1_est18",CHAS!$C$1:$J$2762,2,FALSE) +VLOOKUP("T1_est142",CHAS!$C$1:$J$2762,2,FALSE)</f>
        <v>18640</v>
      </c>
      <c r="C23" s="116">
        <f>VLOOKUP("T1_est59",CHAS!$C$1:$J$2762,2,FALSE) +VLOOKUP("T1_est183",CHAS!$C$1:$J$2762,2,FALSE)</f>
        <v>4830</v>
      </c>
      <c r="D23" s="3">
        <f>VLOOKUP("T1_est100",CHAS!$C$1:$J$2762,2,FALSE) +VLOOKUP("T1_est224",CHAS!$C$1:$J$2762,2,FALSE)</f>
        <v>0</v>
      </c>
    </row>
    <row r="24" spans="1:4" s="189" customFormat="1" ht="15" thickBot="1" x14ac:dyDescent="0.4">
      <c r="A24" s="192" t="s">
        <v>37</v>
      </c>
      <c r="B24" s="116">
        <f>VLOOKUP("T1_est19",CHAS!$C$1:$J$2762,2,FALSE) +VLOOKUP("T1_est143",CHAS!$C$1:$J$2762,2,FALSE)</f>
        <v>970</v>
      </c>
      <c r="C24" s="124">
        <f>VLOOKUP("T1_est60",CHAS!$C$1:$J$2762,2,FALSE) +VLOOKUP("T1_est184",CHAS!$C$1:$J$2762,2,FALSE)</f>
        <v>305</v>
      </c>
      <c r="D24" s="67">
        <f>VLOOKUP("T1_est101",CHAS!$C$1:$J$2762,2,FALSE) +VLOOKUP("T1_est225",CHAS!$C$1:$J$2762,2,FALSE)</f>
        <v>0</v>
      </c>
    </row>
    <row r="25" spans="1:4" x14ac:dyDescent="0.35">
      <c r="A25" s="12" t="s">
        <v>4171</v>
      </c>
    </row>
    <row r="27" spans="1:4" ht="15" thickBot="1" x14ac:dyDescent="0.4">
      <c r="A27" s="9" t="s">
        <v>56</v>
      </c>
    </row>
    <row r="28" spans="1:4" ht="15" thickBot="1" x14ac:dyDescent="0.4">
      <c r="A28" s="21" t="s">
        <v>45</v>
      </c>
      <c r="B28" s="121" t="s">
        <v>46</v>
      </c>
      <c r="C28" s="121" t="s">
        <v>47</v>
      </c>
      <c r="D28" s="1" t="s">
        <v>48</v>
      </c>
    </row>
    <row r="29" spans="1:4" ht="15" thickBot="1" x14ac:dyDescent="0.4">
      <c r="A29" s="38" t="s">
        <v>49</v>
      </c>
      <c r="B29" s="116">
        <f>VLOOKUP("T1_est20",CHAS!$C$1:$J$2762,2,FALSE) +VLOOKUP("T1_est144",CHAS!$C$1:$J$2762,2,FALSE)</f>
        <v>74860</v>
      </c>
      <c r="C29" s="116">
        <f>VLOOKUP("T1_est61",CHAS!$C$1:$J$2762,2,FALSE) +VLOOKUP("T1_est185",CHAS!$C$1:$J$2762,2,FALSE)</f>
        <v>82075</v>
      </c>
      <c r="D29" s="15">
        <f>VLOOKUP("T1_est102",CHAS!$C$1:$J$2762,2,FALSE) +VLOOKUP("T1_est226",CHAS!$C$1:$J$2762,2,FALSE)</f>
        <v>0</v>
      </c>
    </row>
    <row r="30" spans="1:4" ht="15" thickBot="1" x14ac:dyDescent="0.4">
      <c r="A30" s="38" t="s">
        <v>50</v>
      </c>
      <c r="B30" s="116">
        <f>VLOOKUP("T1_est21",CHAS!$C$1:$J$2762,2,FALSE) +VLOOKUP("T1_est145",CHAS!$C$1:$J$2762,2,FALSE)</f>
        <v>41120</v>
      </c>
      <c r="C30" s="116">
        <f>VLOOKUP("T1_est62",CHAS!$C$1:$J$2762,2,FALSE) +VLOOKUP("T1_est186",CHAS!$C$1:$J$2762,2,FALSE)</f>
        <v>47120</v>
      </c>
      <c r="D30" s="3">
        <f>VLOOKUP("T1_est103",CHAS!$C$1:$J$2762,2,FALSE) +VLOOKUP("T1_est227",CHAS!$C$1:$J$2762,2,FALSE)</f>
        <v>0</v>
      </c>
    </row>
    <row r="31" spans="1:4" ht="15" thickBot="1" x14ac:dyDescent="0.4">
      <c r="A31" s="38" t="s">
        <v>51</v>
      </c>
      <c r="B31" s="116">
        <f>VLOOKUP("T1_est22",CHAS!$C$1:$J$2762,2,FALSE) +VLOOKUP("T1_est146",CHAS!$C$1:$J$2762,2,FALSE)</f>
        <v>13385</v>
      </c>
      <c r="C31" s="116">
        <f>VLOOKUP("T1_est63",CHAS!$C$1:$J$2762,2,FALSE) +VLOOKUP("T1_est187",CHAS!$C$1:$J$2762,2,FALSE)</f>
        <v>15330</v>
      </c>
      <c r="D31" s="3">
        <f>VLOOKUP("T1_est104",CHAS!$C$1:$J$2762,2,FALSE) +VLOOKUP("T1_est228",CHAS!$C$1:$J$2762,2,FALSE)</f>
        <v>0</v>
      </c>
    </row>
    <row r="32" spans="1:4" ht="15" thickBot="1" x14ac:dyDescent="0.4">
      <c r="A32" s="38" t="s">
        <v>52</v>
      </c>
      <c r="B32" s="116">
        <f>VLOOKUP("T1_est23",CHAS!$C$1:$J$2762,2,FALSE) +VLOOKUP("T1_est147",CHAS!$C$1:$J$2762,2,FALSE)</f>
        <v>4660</v>
      </c>
      <c r="C32" s="116">
        <f>VLOOKUP("T1_est64",CHAS!$C$1:$J$2762,2,FALSE) +VLOOKUP("T1_est188",CHAS!$C$1:$J$2762,2,FALSE)</f>
        <v>3520</v>
      </c>
      <c r="D32" s="3">
        <f>VLOOKUP("T1_est105",CHAS!$C$1:$J$2762,2,FALSE) +VLOOKUP("T1_est229",CHAS!$C$1:$J$2762,2,FALSE)</f>
        <v>0</v>
      </c>
    </row>
    <row r="33" spans="1:4" ht="15" thickBot="1" x14ac:dyDescent="0.4">
      <c r="A33" s="122" t="s">
        <v>53</v>
      </c>
      <c r="B33" s="67">
        <f>VLOOKUP("T1_est24",CHAS!$C$1:$J$2762,2,FALSE) +VLOOKUP("T1_est148",CHAS!$C$1:$J$2762,2,FALSE)</f>
        <v>105</v>
      </c>
      <c r="C33" s="67">
        <f>VLOOKUP("T1_est65",CHAS!$C$1:$J$2762,2,FALSE) +VLOOKUP("T1_est189",CHAS!$C$1:$J$2762,2,FALSE)</f>
        <v>165</v>
      </c>
      <c r="D33" s="3">
        <f>VLOOKUP("T1_est106",CHAS!$C$1:$J$2762,2,FALSE) +VLOOKUP("T1_est230",CHAS!$C$1:$J$2762,2,FALSE)</f>
        <v>0</v>
      </c>
    </row>
    <row r="34" spans="1:4" ht="15" thickBot="1" x14ac:dyDescent="0.4">
      <c r="A34" s="38" t="s">
        <v>54</v>
      </c>
      <c r="B34" s="67">
        <f>VLOOKUP("T1_est25",CHAS!$C$1:$J$2762,2,FALSE) +VLOOKUP("T1_est149",CHAS!$C$1:$J$2762,2,FALSE)</f>
        <v>20</v>
      </c>
      <c r="C34" s="67">
        <f>VLOOKUP("T1_est66",CHAS!$C$1:$J$2762,2,FALSE) +VLOOKUP("T1_est190",CHAS!$C$1:$J$2762,2,FALSE)</f>
        <v>0</v>
      </c>
      <c r="D34" s="3">
        <f>VLOOKUP("T1_est107",CHAS!$C$1:$J$2762,2,FALSE) +VLOOKUP("T1_est231",CHAS!$C$1:$J$2762,2,FALSE)</f>
        <v>0</v>
      </c>
    </row>
    <row r="35" spans="1:4" ht="15" thickBot="1" x14ac:dyDescent="0.4">
      <c r="A35" s="38" t="s">
        <v>55</v>
      </c>
      <c r="B35" s="116">
        <f>VLOOKUP("T1_est26",CHAS!$C$1:$J$2762,2,FALSE) +VLOOKUP("T1_est150",CHAS!$C$1:$J$2762,2,FALSE)</f>
        <v>14730</v>
      </c>
      <c r="C35" s="116">
        <f>VLOOKUP("T1_est67",CHAS!$C$1:$J$2762,2,FALSE) +VLOOKUP("T1_est191",CHAS!$C$1:$J$2762,2,FALSE)</f>
        <v>14915</v>
      </c>
      <c r="D35" s="3">
        <f>VLOOKUP("T1_est108",CHAS!$C$1:$J$2762,2,FALSE) +VLOOKUP("T1_est232",CHAS!$C$1:$J$2762,2,FALSE)</f>
        <v>0</v>
      </c>
    </row>
    <row r="36" spans="1:4" s="189" customFormat="1" ht="15" thickBot="1" x14ac:dyDescent="0.4">
      <c r="A36" s="192" t="s">
        <v>37</v>
      </c>
      <c r="B36" s="116">
        <f>VLOOKUP("T1_est27",CHAS!$C$1:$J$2762,2,FALSE) +VLOOKUP("T1_est151",CHAS!$C$1:$J$2762,2,FALSE)</f>
        <v>830</v>
      </c>
      <c r="C36" s="124">
        <f>VLOOKUP("T1_est68",CHAS!$C$1:$J$2762,2,FALSE) +VLOOKUP("T1_est192",CHAS!$C$1:$J$2762,2,FALSE)</f>
        <v>1020</v>
      </c>
      <c r="D36" s="67">
        <f>VLOOKUP("T1_est109",CHAS!$C$1:$J$2762,2,FALSE) +VLOOKUP("T1_est233",CHAS!$C$1:$J$2762,2,FALSE)</f>
        <v>0</v>
      </c>
    </row>
    <row r="37" spans="1:4" x14ac:dyDescent="0.35">
      <c r="A37" s="12" t="s">
        <v>4171</v>
      </c>
    </row>
    <row r="39" spans="1:4" ht="15" thickBot="1" x14ac:dyDescent="0.4">
      <c r="A39" s="9" t="s">
        <v>57</v>
      </c>
    </row>
    <row r="40" spans="1:4" ht="15" thickBot="1" x14ac:dyDescent="0.4">
      <c r="A40" s="21" t="s">
        <v>45</v>
      </c>
      <c r="B40" s="1" t="s">
        <v>46</v>
      </c>
      <c r="C40" s="1" t="s">
        <v>47</v>
      </c>
      <c r="D40" s="1" t="s">
        <v>48</v>
      </c>
    </row>
    <row r="41" spans="1:4" ht="15" thickBot="1" x14ac:dyDescent="0.4">
      <c r="A41" s="2" t="s">
        <v>49</v>
      </c>
      <c r="B41" s="55">
        <f>VLOOKUP("T1_est28",CHAS!$C$1:$J$2762,2,FALSE) +VLOOKUP("T1_est152",CHAS!$C$1:$J$2762,2,FALSE)</f>
        <v>27835</v>
      </c>
      <c r="C41" s="119">
        <f>VLOOKUP("T1_est69",CHAS!$C$1:$J$2762,2,FALSE) +VLOOKUP("T1_est193",CHAS!$C$1:$J$2762,2,FALSE)</f>
        <v>68695</v>
      </c>
      <c r="D41" s="119">
        <f>VLOOKUP("T1_est110",CHAS!$C$1:$J$2762,2,FALSE) +VLOOKUP("T1_est234",CHAS!$C$1:$J$2762,2,FALSE)</f>
        <v>0</v>
      </c>
    </row>
    <row r="42" spans="1:4" ht="15" thickBot="1" x14ac:dyDescent="0.4">
      <c r="A42" s="2" t="s">
        <v>50</v>
      </c>
      <c r="B42" s="120">
        <f>VLOOKUP("T1_est29",CHAS!$C$1:$J$2762,2,FALSE) +VLOOKUP("T1_est153",CHAS!$C$1:$J$2762,2,FALSE)</f>
        <v>17495</v>
      </c>
      <c r="C42" s="8">
        <f>VLOOKUP("T1_est70",CHAS!$C$1:$J$2762,2,FALSE) +VLOOKUP("T1_est194",CHAS!$C$1:$J$2762,2,FALSE)</f>
        <v>40620</v>
      </c>
      <c r="D42" s="8">
        <f>VLOOKUP("T1_est111",CHAS!$C$1:$J$2762,2,FALSE) +VLOOKUP("T1_est235",CHAS!$C$1:$J$2762,2,FALSE)</f>
        <v>0</v>
      </c>
    </row>
    <row r="43" spans="1:4" ht="15" thickBot="1" x14ac:dyDescent="0.4">
      <c r="A43" s="2" t="s">
        <v>51</v>
      </c>
      <c r="B43" s="120">
        <f>VLOOKUP("T1_est30",CHAS!$C$1:$J$2762,2,FALSE) +VLOOKUP("T1_est154",CHAS!$C$1:$J$2762,2,FALSE)</f>
        <v>3790</v>
      </c>
      <c r="C43" s="8">
        <f>VLOOKUP("T1_est71",CHAS!$C$1:$J$2762,2,FALSE) +VLOOKUP("T1_est195",CHAS!$C$1:$J$2762,2,FALSE)</f>
        <v>11535</v>
      </c>
      <c r="D43" s="8">
        <f>VLOOKUP("T1_est112",CHAS!$C$1:$J$2762,2,FALSE) +VLOOKUP("T1_est236",CHAS!$C$1:$J$2762,2,FALSE)</f>
        <v>0</v>
      </c>
    </row>
    <row r="44" spans="1:4" ht="15" thickBot="1" x14ac:dyDescent="0.4">
      <c r="A44" s="2" t="s">
        <v>52</v>
      </c>
      <c r="B44" s="120">
        <f>VLOOKUP("T1_est31",CHAS!$C$1:$J$2762,2,FALSE) +VLOOKUP("T1_est155",CHAS!$C$1:$J$2762,2,FALSE)</f>
        <v>2040</v>
      </c>
      <c r="C44" s="8">
        <f>VLOOKUP("T1_est72",CHAS!$C$1:$J$2762,2,FALSE) +VLOOKUP("T1_est196",CHAS!$C$1:$J$2762,2,FALSE)</f>
        <v>3880</v>
      </c>
      <c r="D44" s="8">
        <f>VLOOKUP("T1_est113",CHAS!$C$1:$J$2762,2,FALSE) +VLOOKUP("T1_est237",CHAS!$C$1:$J$2762,2,FALSE)</f>
        <v>0</v>
      </c>
    </row>
    <row r="45" spans="1:4" ht="15" thickBot="1" x14ac:dyDescent="0.4">
      <c r="A45" s="7" t="s">
        <v>53</v>
      </c>
      <c r="B45" s="120">
        <f>VLOOKUP("T1_est32",CHAS!$C$1:$J$2762,2,FALSE) +VLOOKUP("T1_est156",CHAS!$C$1:$J$2762,2,FALSE)</f>
        <v>25</v>
      </c>
      <c r="C45" s="8">
        <f>VLOOKUP("T1_est73",CHAS!$C$1:$J$2762,2,FALSE) +VLOOKUP("T1_est197",CHAS!$C$1:$J$2762,2,FALSE)</f>
        <v>76</v>
      </c>
      <c r="D45" s="8">
        <f>VLOOKUP("T1_est114",CHAS!$C$1:$J$2762,2,FALSE) +VLOOKUP("T1_est238",CHAS!$C$1:$J$2762,2,FALSE)</f>
        <v>0</v>
      </c>
    </row>
    <row r="46" spans="1:4" ht="15" thickBot="1" x14ac:dyDescent="0.4">
      <c r="A46" s="2" t="s">
        <v>54</v>
      </c>
      <c r="B46" s="120">
        <f>VLOOKUP("T1_est33",CHAS!$C$1:$J$2762,2,FALSE) +VLOOKUP("T1_est157",CHAS!$C$1:$J$2762,2,FALSE)</f>
        <v>0</v>
      </c>
      <c r="C46" s="8">
        <f>VLOOKUP("T1_est74",CHAS!$C$1:$J$2762,2,FALSE) +VLOOKUP("T1_est198",CHAS!$C$1:$J$2762,2,FALSE)</f>
        <v>30</v>
      </c>
      <c r="D46" s="8">
        <f>VLOOKUP("T1_est115",CHAS!$C$1:$J$2762,2,FALSE) +VLOOKUP("T1_est239",CHAS!$C$1:$J$2762,2,FALSE)</f>
        <v>0</v>
      </c>
    </row>
    <row r="47" spans="1:4" ht="15" thickBot="1" x14ac:dyDescent="0.4">
      <c r="A47" s="2" t="s">
        <v>55</v>
      </c>
      <c r="B47" s="120">
        <f>VLOOKUP("T1_est34",CHAS!$C$1:$J$2762,2,FALSE) +VLOOKUP("T1_est158",CHAS!$C$1:$J$2762,2,FALSE)</f>
        <v>4300</v>
      </c>
      <c r="C47" s="8">
        <f>VLOOKUP("T1_est75",CHAS!$C$1:$J$2762,2,FALSE) +VLOOKUP("T1_est199",CHAS!$C$1:$J$2762,2,FALSE)</f>
        <v>11885</v>
      </c>
      <c r="D47" s="8">
        <f>VLOOKUP("T1_est116",CHAS!$C$1:$J$2762,2,FALSE) +VLOOKUP("T1_est240",CHAS!$C$1:$J$2762,2,FALSE)</f>
        <v>0</v>
      </c>
    </row>
    <row r="48" spans="1:4" s="189" customFormat="1" ht="15" thickBot="1" x14ac:dyDescent="0.4">
      <c r="A48" s="192" t="s">
        <v>37</v>
      </c>
      <c r="B48" s="116">
        <f>VLOOKUP("T1_est35",CHAS!$C$1:$J$2762,2,FALSE) +VLOOKUP("T1_est159",CHAS!$C$1:$J$2762,2,FALSE)</f>
        <v>180</v>
      </c>
      <c r="C48" s="124">
        <f>VLOOKUP("T1_est76",CHAS!$C$1:$J$2762,2,FALSE) +VLOOKUP("T1_est200",CHAS!$C$1:$J$2762,2,FALSE)</f>
        <v>670</v>
      </c>
      <c r="D48" s="67">
        <f>VLOOKUP("T1_est117",CHAS!$C$1:$J$2762,2,FALSE) +VLOOKUP("T1_est241",CHAS!$C$1:$J$2762,2,FALSE)</f>
        <v>0</v>
      </c>
    </row>
    <row r="49" spans="1:2" x14ac:dyDescent="0.35">
      <c r="A49" s="12" t="s">
        <v>4171</v>
      </c>
      <c r="B49" s="112"/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49"/>
  <sheetViews>
    <sheetView topLeftCell="A13" zoomScale="90" zoomScaleNormal="90" workbookViewId="0"/>
  </sheetViews>
  <sheetFormatPr defaultRowHeight="14.5" x14ac:dyDescent="0.35"/>
  <cols>
    <col min="1" max="1" width="30.81640625" customWidth="1"/>
    <col min="2" max="2" width="39.1796875" bestFit="1" customWidth="1"/>
    <col min="3" max="3" width="36.1796875" bestFit="1" customWidth="1"/>
    <col min="4" max="4" width="70.54296875" bestFit="1" customWidth="1"/>
  </cols>
  <sheetData>
    <row r="1" spans="1:4" x14ac:dyDescent="0.35">
      <c r="A1" s="35" t="s">
        <v>58</v>
      </c>
      <c r="B1" s="37"/>
    </row>
    <row r="3" spans="1:4" ht="15" thickBot="1" x14ac:dyDescent="0.4">
      <c r="A3" s="9" t="s">
        <v>59</v>
      </c>
    </row>
    <row r="4" spans="1:4" ht="15" thickBot="1" x14ac:dyDescent="0.4">
      <c r="A4" s="22" t="s">
        <v>60</v>
      </c>
      <c r="B4" s="126" t="s">
        <v>46</v>
      </c>
      <c r="C4" s="126" t="s">
        <v>47</v>
      </c>
      <c r="D4" s="126" t="s">
        <v>48</v>
      </c>
    </row>
    <row r="5" spans="1:4" ht="15" thickBot="1" x14ac:dyDescent="0.4">
      <c r="A5" s="122" t="s">
        <v>49</v>
      </c>
      <c r="B5" s="127">
        <f>VLOOKUP("T2_est4",CHAS!$C$1:$J$2762,2,FALSE) +VLOOKUP("T2_est128",CHAS!$C$1:$J$2762,2,FALSE)</f>
        <v>88765</v>
      </c>
      <c r="C5" s="127">
        <f>VLOOKUP("T2_est45",CHAS!$C$1:$J$2762,2,FALSE) +VLOOKUP("T2_est169",CHAS!$C$1:$J$2762,2,FALSE)</f>
        <v>24165</v>
      </c>
      <c r="D5" s="127">
        <f>VLOOKUP("T2_est86",CHAS!$C$1:$J$2762,2,FALSE) +VLOOKUP("T2_est210",CHAS!$C$1:$J$2762,2,FALSE)</f>
        <v>14075</v>
      </c>
    </row>
    <row r="6" spans="1:4" ht="15" thickBot="1" x14ac:dyDescent="0.4">
      <c r="A6" s="122" t="s">
        <v>50</v>
      </c>
      <c r="B6" s="127">
        <f>VLOOKUP("T2_est5",CHAS!$C$1:$J$2762,2,FALSE) +VLOOKUP("T2_est129",CHAS!$C$1:$J$2762,2,FALSE)</f>
        <v>43140</v>
      </c>
      <c r="C6" s="127">
        <f>VLOOKUP("T2_est46",CHAS!$C$1:$J$2762,2,FALSE) +VLOOKUP("T2_est170",CHAS!$C$1:$J$2762,2,FALSE)</f>
        <v>13995</v>
      </c>
      <c r="D6" s="127">
        <f>VLOOKUP("T2_est87",CHAS!$C$1:$J$2762,2,FALSE) +VLOOKUP("T2_est211",CHAS!$C$1:$J$2762,2,FALSE)</f>
        <v>6025</v>
      </c>
    </row>
    <row r="7" spans="1:4" ht="15" thickBot="1" x14ac:dyDescent="0.4">
      <c r="A7" s="122" t="s">
        <v>51</v>
      </c>
      <c r="B7" s="127">
        <f>VLOOKUP("T2_est6",CHAS!$C$1:$J$2762,2,FALSE) +VLOOKUP("T2_est130",CHAS!$C$1:$J$2762,2,FALSE)</f>
        <v>24255</v>
      </c>
      <c r="C7" s="127">
        <f>VLOOKUP("T2_est47",CHAS!$C$1:$J$2762,2,FALSE) +VLOOKUP("T2_est171",CHAS!$C$1:$J$2762,2,FALSE)</f>
        <v>5575</v>
      </c>
      <c r="D7" s="127">
        <f>VLOOKUP("T2_est88",CHAS!$C$1:$J$2762,2,FALSE) +VLOOKUP("T2_est212",CHAS!$C$1:$J$2762,2,FALSE)</f>
        <v>5575</v>
      </c>
    </row>
    <row r="8" spans="1:4" ht="15" thickBot="1" x14ac:dyDescent="0.4">
      <c r="A8" s="122" t="s">
        <v>52</v>
      </c>
      <c r="B8" s="127">
        <f>VLOOKUP("T2_est7",CHAS!$C$1:$J$2762,2,FALSE) +VLOOKUP("T2_est131",CHAS!$C$1:$J$2762,2,FALSE)</f>
        <v>4385</v>
      </c>
      <c r="C8" s="127">
        <f>VLOOKUP("T2_est48",CHAS!$C$1:$J$2762,2,FALSE) +VLOOKUP("T2_est172",CHAS!$C$1:$J$2762,2,FALSE)</f>
        <v>870</v>
      </c>
      <c r="D8" s="127">
        <f>VLOOKUP("T2_est89",CHAS!$C$1:$J$2762,2,FALSE) +VLOOKUP("T2_est213",CHAS!$C$1:$J$2762,2,FALSE)</f>
        <v>965</v>
      </c>
    </row>
    <row r="9" spans="1:4" ht="15" thickBot="1" x14ac:dyDescent="0.4">
      <c r="A9" s="122" t="s">
        <v>53</v>
      </c>
      <c r="B9" s="127">
        <f>VLOOKUP("T2_est8",CHAS!$C$1:$J$2762,2,FALSE) +VLOOKUP("T2_est132",CHAS!$C$1:$J$2762,2,FALSE)</f>
        <v>190</v>
      </c>
      <c r="C9" s="127">
        <f>VLOOKUP("T2_est49",CHAS!$C$1:$J$2762,2,FALSE) +VLOOKUP("T2_est173",CHAS!$C$1:$J$2762,2,FALSE)</f>
        <v>90</v>
      </c>
      <c r="D9" s="127">
        <f>VLOOKUP("T2_est90",CHAS!$C$1:$J$2762,2,FALSE) +VLOOKUP("T2_est214",CHAS!$C$1:$J$2762,2,FALSE)</f>
        <v>0</v>
      </c>
    </row>
    <row r="10" spans="1:4" ht="15" thickBot="1" x14ac:dyDescent="0.4">
      <c r="A10" s="122" t="s">
        <v>54</v>
      </c>
      <c r="B10" s="127">
        <f>VLOOKUP("T2_est9",CHAS!$C$1:$J$2762,2,FALSE) +VLOOKUP("T2_est133",CHAS!$C$1:$J$2762,2,FALSE)</f>
        <v>0</v>
      </c>
      <c r="C10" s="127">
        <f>VLOOKUP("T2_est50",CHAS!$C$1:$J$2762,2,FALSE) +VLOOKUP("T2_est174",CHAS!$C$1:$J$2762,2,FALSE)</f>
        <v>0</v>
      </c>
      <c r="D10" s="127">
        <f>VLOOKUP("T2_est91",CHAS!$C$1:$J$2762,2,FALSE) +VLOOKUP("T2_est215",CHAS!$C$1:$J$2762,2,FALSE)</f>
        <v>0</v>
      </c>
    </row>
    <row r="11" spans="1:4" ht="15" thickBot="1" x14ac:dyDescent="0.4">
      <c r="A11" s="122" t="s">
        <v>55</v>
      </c>
      <c r="B11" s="127">
        <f>VLOOKUP("T2_est10",CHAS!$C$1:$J$2762,2,FALSE) +VLOOKUP("T2_est134",CHAS!$C$1:$J$2762,2,FALSE)</f>
        <v>15645</v>
      </c>
      <c r="C11" s="127">
        <f>VLOOKUP("T2_est51",CHAS!$C$1:$J$2762,2,FALSE) +VLOOKUP("T2_est175",CHAS!$C$1:$J$2762,2,FALSE)</f>
        <v>3385</v>
      </c>
      <c r="D11" s="127">
        <f>VLOOKUP("T2_est92",CHAS!$C$1:$J$2762,2,FALSE) +VLOOKUP("T2_est216",CHAS!$C$1:$J$2762,2,FALSE)</f>
        <v>1320</v>
      </c>
    </row>
    <row r="12" spans="1:4" s="189" customFormat="1" ht="15" thickBot="1" x14ac:dyDescent="0.4">
      <c r="A12" s="193" t="s">
        <v>37</v>
      </c>
      <c r="B12" s="127">
        <f>VLOOKUP("T2_est11",CHAS!$C$1:$J$2762,2,FALSE) +VLOOKUP("T2_est135",CHAS!$C$1:$J$2762,2,FALSE)</f>
        <v>1160</v>
      </c>
      <c r="C12" s="127">
        <f>VLOOKUP("T2_est52",CHAS!$C$1:$J$2762,2,FALSE) +VLOOKUP("T2_est176",CHAS!$C$1:$J$2762,2,FALSE)</f>
        <v>260</v>
      </c>
      <c r="D12" s="127">
        <f>VLOOKUP("T2_est93",CHAS!$C$1:$J$2762,2,FALSE) +VLOOKUP("T2_est217",CHAS!$C$1:$J$2762,2,FALSE)</f>
        <v>185</v>
      </c>
    </row>
    <row r="13" spans="1:4" x14ac:dyDescent="0.35">
      <c r="A13" s="12" t="s">
        <v>4171</v>
      </c>
      <c r="B13" s="125"/>
      <c r="C13" s="125"/>
      <c r="D13" s="125"/>
    </row>
    <row r="14" spans="1:4" x14ac:dyDescent="0.35">
      <c r="B14" s="125"/>
      <c r="C14" s="125"/>
      <c r="D14" s="125"/>
    </row>
    <row r="15" spans="1:4" ht="15" thickBot="1" x14ac:dyDescent="0.4">
      <c r="A15" s="9" t="s">
        <v>61</v>
      </c>
    </row>
    <row r="16" spans="1:4" ht="15" thickBot="1" x14ac:dyDescent="0.4">
      <c r="A16" s="21" t="s">
        <v>60</v>
      </c>
      <c r="B16" s="121" t="s">
        <v>46</v>
      </c>
      <c r="C16" s="121" t="s">
        <v>47</v>
      </c>
      <c r="D16" s="121" t="s">
        <v>48</v>
      </c>
    </row>
    <row r="17" spans="1:7" ht="15" thickBot="1" x14ac:dyDescent="0.4">
      <c r="A17" s="38" t="s">
        <v>49</v>
      </c>
      <c r="B17" s="127">
        <f>VLOOKUP("T2_est12",CHAS!$C$1:$J$2762,2,FALSE) +VLOOKUP("T2_est136",CHAS!$C$1:$J$2762,2,FALSE)</f>
        <v>44710</v>
      </c>
      <c r="C17" s="127">
        <f>VLOOKUP("T2_est53",CHAS!$C$1:$J$2762,2,FALSE) +VLOOKUP("T2_est177",CHAS!$C$1:$J$2762,2,FALSE)</f>
        <v>70110</v>
      </c>
      <c r="D17" s="127">
        <f>VLOOKUP("T2_est94",CHAS!$C$1:$J$2762,2,FALSE) +VLOOKUP("T2_est218",CHAS!$C$1:$J$2762,2,FALSE)</f>
        <v>0</v>
      </c>
      <c r="G17" s="67"/>
    </row>
    <row r="18" spans="1:7" ht="15" thickBot="1" x14ac:dyDescent="0.4">
      <c r="A18" s="38" t="s">
        <v>50</v>
      </c>
      <c r="B18" s="127">
        <f>VLOOKUP("T2_est13",CHAS!$C$1:$J$2762,2,FALSE) +VLOOKUP("T2_est137",CHAS!$C$1:$J$2762,2,FALSE)</f>
        <v>22810</v>
      </c>
      <c r="C18" s="127">
        <f>VLOOKUP("T2_est54",CHAS!$C$1:$J$2762,2,FALSE) +VLOOKUP("T2_est178",CHAS!$C$1:$J$2762,2,FALSE)</f>
        <v>40470</v>
      </c>
      <c r="D18" s="127">
        <f>VLOOKUP("T2_est95",CHAS!$C$1:$J$2762,2,FALSE) +VLOOKUP("T2_est219",CHAS!$C$1:$J$2762,2,FALSE)</f>
        <v>0</v>
      </c>
    </row>
    <row r="19" spans="1:7" ht="15" thickBot="1" x14ac:dyDescent="0.4">
      <c r="A19" s="38" t="s">
        <v>51</v>
      </c>
      <c r="B19" s="127">
        <f>VLOOKUP("T2_est14",CHAS!$C$1:$J$2762,2,FALSE) +VLOOKUP("T2_est138",CHAS!$C$1:$J$2762,2,FALSE)</f>
        <v>8985</v>
      </c>
      <c r="C19" s="127">
        <f>VLOOKUP("T2_est55",CHAS!$C$1:$J$2762,2,FALSE) +VLOOKUP("T2_est179",CHAS!$C$1:$J$2762,2,FALSE)</f>
        <v>12290</v>
      </c>
      <c r="D19" s="127">
        <f>VLOOKUP("T2_est96",CHAS!$C$1:$J$2762,2,FALSE) +VLOOKUP("T2_est220",CHAS!$C$1:$J$2762,2,FALSE)</f>
        <v>0</v>
      </c>
    </row>
    <row r="20" spans="1:7" ht="15" thickBot="1" x14ac:dyDescent="0.4">
      <c r="A20" s="38" t="s">
        <v>52</v>
      </c>
      <c r="B20" s="127">
        <f>VLOOKUP("T2_est15",CHAS!$C$1:$J$2762,2,FALSE) +VLOOKUP("T2_est139",CHAS!$C$1:$J$2762,2,FALSE)</f>
        <v>2720</v>
      </c>
      <c r="C20" s="127">
        <f>VLOOKUP("T2_est56",CHAS!$C$1:$J$2762,2,FALSE) +VLOOKUP("T2_est180",CHAS!$C$1:$J$2762,2,FALSE)</f>
        <v>2665</v>
      </c>
      <c r="D20" s="127">
        <f>VLOOKUP("T2_est97",CHAS!$C$1:$J$2762,2,FALSE) +VLOOKUP("T2_est221",CHAS!$C$1:$J$2762,2,FALSE)</f>
        <v>0</v>
      </c>
    </row>
    <row r="21" spans="1:7" ht="15" thickBot="1" x14ac:dyDescent="0.4">
      <c r="A21" s="38" t="s">
        <v>53</v>
      </c>
      <c r="B21" s="127">
        <f>VLOOKUP("T2_est16",CHAS!$C$1:$J$2762,2,FALSE) +VLOOKUP("T2_est140",CHAS!$C$1:$J$2762,2,FALSE)</f>
        <v>0</v>
      </c>
      <c r="C21" s="127">
        <f>VLOOKUP("T2_est57",CHAS!$C$1:$J$2762,2,FALSE) +VLOOKUP("T2_est181",CHAS!$C$1:$J$2762,2,FALSE)</f>
        <v>85</v>
      </c>
      <c r="D21" s="127">
        <f>VLOOKUP("T2_est98",CHAS!$C$1:$J$2762,2,FALSE) +VLOOKUP("T2_est222",CHAS!$C$1:$J$2762,2,FALSE)</f>
        <v>0</v>
      </c>
    </row>
    <row r="22" spans="1:7" ht="15" thickBot="1" x14ac:dyDescent="0.4">
      <c r="A22" s="38" t="s">
        <v>54</v>
      </c>
      <c r="B22" s="127">
        <f>VLOOKUP("T2_est17",CHAS!$C$1:$J$2762,2,FALSE) +VLOOKUP("T2_est141",CHAS!$C$1:$J$2762,2,FALSE)</f>
        <v>45</v>
      </c>
      <c r="C22" s="127">
        <f>VLOOKUP("T2_est58",CHAS!$C$1:$J$2762,2,FALSE) +VLOOKUP("T2_est182",CHAS!$C$1:$J$2762,2,FALSE)</f>
        <v>0</v>
      </c>
      <c r="D22" s="127">
        <f>VLOOKUP("T2_est99",CHAS!$C$1:$J$2762,2,FALSE) +VLOOKUP("T2_est223",CHAS!$C$1:$J$2762,2,FALSE)</f>
        <v>0</v>
      </c>
    </row>
    <row r="23" spans="1:7" ht="15" thickBot="1" x14ac:dyDescent="0.4">
      <c r="A23" s="38" t="s">
        <v>55</v>
      </c>
      <c r="B23" s="127">
        <f>VLOOKUP("T2_est18",CHAS!$C$1:$J$2762,2,FALSE) +VLOOKUP("T2_est142",CHAS!$C$1:$J$2762,2,FALSE)</f>
        <v>9715</v>
      </c>
      <c r="C23" s="127">
        <f>VLOOKUP("T2_est59",CHAS!$C$1:$J$2762,2,FALSE) +VLOOKUP("T2_est183",CHAS!$C$1:$J$2762,2,FALSE)</f>
        <v>13755</v>
      </c>
      <c r="D23" s="127">
        <f>VLOOKUP("T2_est100",CHAS!$C$1:$J$2762,2,FALSE) +VLOOKUP("T2_est224",CHAS!$C$1:$J$2762,2,FALSE)</f>
        <v>0</v>
      </c>
    </row>
    <row r="24" spans="1:7" s="189" customFormat="1" ht="15" thickBot="1" x14ac:dyDescent="0.4">
      <c r="A24" s="193" t="s">
        <v>37</v>
      </c>
      <c r="B24" s="127">
        <f>VLOOKUP("T2_est19",CHAS!$C$1:$J$2762,2,FALSE) +VLOOKUP("T2_est143",CHAS!$C$1:$J$2762,2,FALSE)</f>
        <v>440</v>
      </c>
      <c r="C24" s="127">
        <f>VLOOKUP("T2_est60",CHAS!$C$1:$J$2762,2,FALSE) +VLOOKUP("T2_est184",CHAS!$C$1:$J$2762,2,FALSE)</f>
        <v>830</v>
      </c>
      <c r="D24" s="127">
        <f>VLOOKUP("T2_est101",CHAS!$C$1:$J$2762,2,FALSE) +VLOOKUP("T2_est225",CHAS!$C$1:$J$2762,2,FALSE)</f>
        <v>0</v>
      </c>
    </row>
    <row r="25" spans="1:7" x14ac:dyDescent="0.35">
      <c r="A25" s="12" t="s">
        <v>4171</v>
      </c>
      <c r="D25" s="112"/>
    </row>
    <row r="27" spans="1:7" ht="15" thickBot="1" x14ac:dyDescent="0.4">
      <c r="A27" s="9" t="s">
        <v>62</v>
      </c>
    </row>
    <row r="28" spans="1:7" ht="15" thickBot="1" x14ac:dyDescent="0.4">
      <c r="A28" s="21" t="s">
        <v>60</v>
      </c>
      <c r="B28" s="121" t="s">
        <v>46</v>
      </c>
      <c r="C28" s="121" t="s">
        <v>47</v>
      </c>
      <c r="D28" s="121" t="s">
        <v>48</v>
      </c>
    </row>
    <row r="29" spans="1:7" ht="15" thickBot="1" x14ac:dyDescent="0.4">
      <c r="A29" s="38" t="s">
        <v>49</v>
      </c>
      <c r="B29" s="127">
        <f>VLOOKUP("T2_est20",CHAS!$C$1:$J$2762,2,FALSE) +VLOOKUP("T2_est144",CHAS!$C$1:$J$2762,2,FALSE)</f>
        <v>24105</v>
      </c>
      <c r="C29" s="127">
        <f>VLOOKUP("T2_est61",CHAS!$C$1:$J$2762,2,FALSE) +VLOOKUP("T2_est185",CHAS!$C$1:$J$2762,2,FALSE)</f>
        <v>132830</v>
      </c>
      <c r="D29" s="127">
        <f>VLOOKUP("T2_est102",CHAS!$C$1:$J$2762,2,FALSE) +VLOOKUP("T2_est226",CHAS!$C$1:$J$2762,2,FALSE)</f>
        <v>0</v>
      </c>
      <c r="E29" s="112"/>
    </row>
    <row r="30" spans="1:7" ht="15" thickBot="1" x14ac:dyDescent="0.4">
      <c r="A30" s="38" t="s">
        <v>50</v>
      </c>
      <c r="B30" s="127">
        <f>VLOOKUP("T2_est21",CHAS!$C$1:$J$2762,2,FALSE) +VLOOKUP("T2_est145",CHAS!$C$1:$J$2762,2,FALSE)</f>
        <v>13270</v>
      </c>
      <c r="C30" s="127">
        <f>VLOOKUP("T2_est62",CHAS!$C$1:$J$2762,2,FALSE) +VLOOKUP("T2_est186",CHAS!$C$1:$J$2762,2,FALSE)</f>
        <v>74970</v>
      </c>
      <c r="D30" s="127">
        <f>VLOOKUP("T2_est103",CHAS!$C$1:$J$2762,2,FALSE) +VLOOKUP("T2_est227",CHAS!$C$1:$J$2762,2,FALSE)</f>
        <v>0</v>
      </c>
      <c r="E30" s="112"/>
    </row>
    <row r="31" spans="1:7" ht="15" thickBot="1" x14ac:dyDescent="0.4">
      <c r="A31" s="38" t="s">
        <v>51</v>
      </c>
      <c r="B31" s="127">
        <f>VLOOKUP("T2_est22",CHAS!$C$1:$J$2762,2,FALSE) +VLOOKUP("T2_est146",CHAS!$C$1:$J$2762,2,FALSE)</f>
        <v>3125</v>
      </c>
      <c r="C31" s="127">
        <f>VLOOKUP("T2_est63",CHAS!$C$1:$J$2762,2,FALSE) +VLOOKUP("T2_est187",CHAS!$C$1:$J$2762,2,FALSE)</f>
        <v>25590</v>
      </c>
      <c r="D31" s="127">
        <f>VLOOKUP("T2_est104",CHAS!$C$1:$J$2762,2,FALSE) +VLOOKUP("T2_est228",CHAS!$C$1:$J$2762,2,FALSE)</f>
        <v>0</v>
      </c>
      <c r="E31" s="112"/>
    </row>
    <row r="32" spans="1:7" ht="15" thickBot="1" x14ac:dyDescent="0.4">
      <c r="A32" s="38" t="s">
        <v>52</v>
      </c>
      <c r="B32" s="127">
        <f>VLOOKUP("T2_est23",CHAS!$C$1:$J$2762,2,FALSE) +VLOOKUP("T2_est147",CHAS!$C$1:$J$2762,2,FALSE)</f>
        <v>1790</v>
      </c>
      <c r="C32" s="127">
        <f>VLOOKUP("T2_est64",CHAS!$C$1:$J$2762,2,FALSE) +VLOOKUP("T2_est188",CHAS!$C$1:$J$2762,2,FALSE)</f>
        <v>6395</v>
      </c>
      <c r="D32" s="127">
        <f>VLOOKUP("T2_est105",CHAS!$C$1:$J$2762,2,FALSE) +VLOOKUP("T2_est229",CHAS!$C$1:$J$2762,2,FALSE)</f>
        <v>0</v>
      </c>
      <c r="E32" s="112"/>
    </row>
    <row r="33" spans="1:5" ht="15" thickBot="1" x14ac:dyDescent="0.4">
      <c r="A33" s="38" t="s">
        <v>53</v>
      </c>
      <c r="B33" s="127">
        <f>VLOOKUP("T2_est24",CHAS!$C$1:$J$2762,2,FALSE) +VLOOKUP("T2_est148",CHAS!$C$1:$J$2762,2,FALSE)</f>
        <v>0</v>
      </c>
      <c r="C33" s="127">
        <f>VLOOKUP("T2_est65",CHAS!$C$1:$J$2762,2,FALSE) +VLOOKUP("T2_est189",CHAS!$C$1:$J$2762,2,FALSE)</f>
        <v>275</v>
      </c>
      <c r="D33" s="127">
        <f>VLOOKUP("T2_est106",CHAS!$C$1:$J$2762,2,FALSE) +VLOOKUP("T2_est230",CHAS!$C$1:$J$2762,2,FALSE)</f>
        <v>0</v>
      </c>
      <c r="E33" s="112"/>
    </row>
    <row r="34" spans="1:5" ht="15" thickBot="1" x14ac:dyDescent="0.4">
      <c r="A34" s="38" t="s">
        <v>54</v>
      </c>
      <c r="B34" s="127">
        <f>VLOOKUP("T2_est25",CHAS!$C$1:$J$2762,2,FALSE) +VLOOKUP("T2_est149",CHAS!$C$1:$J$2762,2,FALSE)</f>
        <v>0</v>
      </c>
      <c r="C34" s="127">
        <f>VLOOKUP("T2_est66",CHAS!$C$1:$J$2762,2,FALSE) +VLOOKUP("T2_est190",CHAS!$C$1:$J$2762,2,FALSE)</f>
        <v>20</v>
      </c>
      <c r="D34" s="127">
        <f>VLOOKUP("T2_est107",CHAS!$C$1:$J$2762,2,FALSE) +VLOOKUP("T2_est231",CHAS!$C$1:$J$2762,2,FALSE)</f>
        <v>0</v>
      </c>
      <c r="E34" s="112"/>
    </row>
    <row r="35" spans="1:5" ht="15" thickBot="1" x14ac:dyDescent="0.4">
      <c r="A35" s="38" t="s">
        <v>55</v>
      </c>
      <c r="B35" s="127">
        <f>VLOOKUP("T2_est26",CHAS!$C$1:$J$2762,2,FALSE) +VLOOKUP("T2_est150",CHAS!$C$1:$J$2762,2,FALSE)</f>
        <v>5650</v>
      </c>
      <c r="C35" s="127">
        <f>VLOOKUP("T2_est67",CHAS!$C$1:$J$2762,2,FALSE) +VLOOKUP("T2_est191",CHAS!$C$1:$J$2762,2,FALSE)</f>
        <v>23995</v>
      </c>
      <c r="D35" s="127">
        <f>VLOOKUP("T2_est108",CHAS!$C$1:$J$2762,2,FALSE) +VLOOKUP("T2_est232",CHAS!$C$1:$J$2762,2,FALSE)</f>
        <v>0</v>
      </c>
      <c r="E35" s="112"/>
    </row>
    <row r="36" spans="1:5" s="189" customFormat="1" ht="15" thickBot="1" x14ac:dyDescent="0.4">
      <c r="A36" s="193" t="s">
        <v>37</v>
      </c>
      <c r="B36" s="127">
        <f>VLOOKUP("T2_est27",CHAS!$C$1:$J$2762,2,FALSE) +VLOOKUP("T2_est151",CHAS!$C$1:$J$2762,2,FALSE)</f>
        <v>270</v>
      </c>
      <c r="C36" s="127">
        <f>VLOOKUP("T2_est68",CHAS!$C$1:$J$2762,2,FALSE) +VLOOKUP("T2_est192",CHAS!$C$1:$J$2762,2,FALSE)</f>
        <v>1580</v>
      </c>
      <c r="D36" s="127">
        <f>VLOOKUP("T2_est109",CHAS!$C$1:$J$2762,2,FALSE) +VLOOKUP("T2_est233",CHAS!$C$1:$J$2762,2,FALSE)</f>
        <v>0</v>
      </c>
    </row>
    <row r="37" spans="1:5" x14ac:dyDescent="0.35">
      <c r="A37" s="12" t="s">
        <v>4171</v>
      </c>
      <c r="D37" s="112"/>
    </row>
    <row r="39" spans="1:5" ht="15" thickBot="1" x14ac:dyDescent="0.4">
      <c r="A39" s="9" t="s">
        <v>63</v>
      </c>
    </row>
    <row r="40" spans="1:5" ht="15" thickBot="1" x14ac:dyDescent="0.4">
      <c r="A40" s="21" t="s">
        <v>60</v>
      </c>
      <c r="B40" s="121" t="s">
        <v>46</v>
      </c>
      <c r="C40" s="121" t="s">
        <v>47</v>
      </c>
      <c r="D40" s="121" t="s">
        <v>48</v>
      </c>
    </row>
    <row r="41" spans="1:5" ht="15" thickBot="1" x14ac:dyDescent="0.4">
      <c r="A41" s="38" t="s">
        <v>49</v>
      </c>
      <c r="B41" s="127">
        <f>VLOOKUP("T2_est28",CHAS!$C$1:$J$2762,2,FALSE) +VLOOKUP("T2_est152",CHAS!$C$1:$J$2762,2,FALSE)</f>
        <v>7190</v>
      </c>
      <c r="C41" s="127">
        <f>VLOOKUP("T2_est69",CHAS!$C$1:$J$2762,2,FALSE) +VLOOKUP("T2_est193",CHAS!$C$1:$J$2762,2,FALSE)</f>
        <v>89335</v>
      </c>
      <c r="D41" s="127">
        <f>VLOOKUP("T2_est110",CHAS!$C$1:$J$2762,2,FALSE) +VLOOKUP("T2_est234",CHAS!$C$1:$J$2762,2,FALSE)</f>
        <v>0</v>
      </c>
      <c r="E41" s="112"/>
    </row>
    <row r="42" spans="1:5" ht="15" thickBot="1" x14ac:dyDescent="0.4">
      <c r="A42" s="38" t="s">
        <v>50</v>
      </c>
      <c r="B42" s="127">
        <f>VLOOKUP("T2_est29",CHAS!$C$1:$J$2762,2,FALSE) +VLOOKUP("T2_est153",CHAS!$C$1:$J$2762,2,FALSE)</f>
        <v>4005</v>
      </c>
      <c r="C42" s="127">
        <f>VLOOKUP("T2_est70",CHAS!$C$1:$J$2762,2,FALSE) +VLOOKUP("T2_est194",CHAS!$C$1:$J$2762,2,FALSE)</f>
        <v>54115</v>
      </c>
      <c r="D42" s="127">
        <f>VLOOKUP("T2_est111",CHAS!$C$1:$J$2762,2,FALSE) +VLOOKUP("T2_est235",CHAS!$C$1:$J$2762,2,FALSE)</f>
        <v>0</v>
      </c>
      <c r="E42" s="112"/>
    </row>
    <row r="43" spans="1:5" ht="15" thickBot="1" x14ac:dyDescent="0.4">
      <c r="A43" s="38" t="s">
        <v>51</v>
      </c>
      <c r="B43" s="127">
        <f>VLOOKUP("T2_est30",CHAS!$C$1:$J$2762,2,FALSE) +VLOOKUP("T2_est154",CHAS!$C$1:$J$2762,2,FALSE)</f>
        <v>745</v>
      </c>
      <c r="C43" s="127">
        <f>VLOOKUP("T2_est71",CHAS!$C$1:$J$2762,2,FALSE) +VLOOKUP("T2_est195",CHAS!$C$1:$J$2762,2,FALSE)</f>
        <v>14585</v>
      </c>
      <c r="D43" s="127">
        <f>VLOOKUP("T2_est112",CHAS!$C$1:$J$2762,2,FALSE) +VLOOKUP("T2_est236",CHAS!$C$1:$J$2762,2,FALSE)</f>
        <v>0</v>
      </c>
      <c r="E43" s="112"/>
    </row>
    <row r="44" spans="1:5" ht="15" thickBot="1" x14ac:dyDescent="0.4">
      <c r="A44" s="38" t="s">
        <v>52</v>
      </c>
      <c r="B44" s="127">
        <f>VLOOKUP("T2_est31",CHAS!$C$1:$J$2762,2,FALSE) +VLOOKUP("T2_est155",CHAS!$C$1:$J$2762,2,FALSE)</f>
        <v>765</v>
      </c>
      <c r="C44" s="127">
        <f>VLOOKUP("T2_est72",CHAS!$C$1:$J$2762,2,FALSE) +VLOOKUP("T2_est196",CHAS!$C$1:$J$2762,2,FALSE)</f>
        <v>5160</v>
      </c>
      <c r="D44" s="127">
        <f>VLOOKUP("T2_est113",CHAS!$C$1:$J$2762,2,FALSE) +VLOOKUP("T2_est237",CHAS!$C$1:$J$2762,2,FALSE)</f>
        <v>0</v>
      </c>
      <c r="E44" s="112"/>
    </row>
    <row r="45" spans="1:5" ht="15" thickBot="1" x14ac:dyDescent="0.4">
      <c r="A45" s="38" t="s">
        <v>53</v>
      </c>
      <c r="B45" s="127">
        <f>VLOOKUP("T2_est32",CHAS!$C$1:$J$2762,2,FALSE) +VLOOKUP("T2_est156",CHAS!$C$1:$J$2762,2,FALSE)</f>
        <v>0</v>
      </c>
      <c r="C45" s="127">
        <f>VLOOKUP("T2_est73",CHAS!$C$1:$J$2762,2,FALSE) +VLOOKUP("T2_est197",CHAS!$C$1:$J$2762,2,FALSE)</f>
        <v>101</v>
      </c>
      <c r="D45" s="127">
        <f>VLOOKUP("T2_est114",CHAS!$C$1:$J$2762,2,FALSE) +VLOOKUP("T2_est238",CHAS!$C$1:$J$2762,2,FALSE)</f>
        <v>0</v>
      </c>
      <c r="E45" s="112"/>
    </row>
    <row r="46" spans="1:5" ht="15" thickBot="1" x14ac:dyDescent="0.4">
      <c r="A46" s="38" t="s">
        <v>54</v>
      </c>
      <c r="B46" s="127">
        <f>VLOOKUP("T2_est33",CHAS!$C$1:$J$2762,2,FALSE) +VLOOKUP("T2_est157",CHAS!$C$1:$J$2762,2,FALSE)</f>
        <v>0</v>
      </c>
      <c r="C46" s="127">
        <f>VLOOKUP("T2_est74",CHAS!$C$1:$J$2762,2,FALSE) +VLOOKUP("T2_est198",CHAS!$C$1:$J$2762,2,FALSE)</f>
        <v>30</v>
      </c>
      <c r="D46" s="127">
        <f>VLOOKUP("T2_est115",CHAS!$C$1:$J$2762,2,FALSE) +VLOOKUP("T2_est239",CHAS!$C$1:$J$2762,2,FALSE)</f>
        <v>0</v>
      </c>
      <c r="E46" s="112"/>
    </row>
    <row r="47" spans="1:5" ht="15" thickBot="1" x14ac:dyDescent="0.4">
      <c r="A47" s="38" t="s">
        <v>55</v>
      </c>
      <c r="B47" s="127">
        <f>VLOOKUP("T2_est34",CHAS!$C$1:$J$2762,2,FALSE) +VLOOKUP("T2_est158",CHAS!$C$1:$J$2762,2,FALSE)</f>
        <v>1625</v>
      </c>
      <c r="C47" s="127">
        <f>VLOOKUP("T2_est75",CHAS!$C$1:$J$2762,2,FALSE) +VLOOKUP("T2_est199",CHAS!$C$1:$J$2762,2,FALSE)</f>
        <v>14560</v>
      </c>
      <c r="D47" s="127">
        <f>VLOOKUP("T2_est116",CHAS!$C$1:$J$2762,2,FALSE) +VLOOKUP("T2_est240",CHAS!$C$1:$J$2762,2,FALSE)</f>
        <v>0</v>
      </c>
      <c r="E47" s="112"/>
    </row>
    <row r="48" spans="1:5" s="189" customFormat="1" ht="15" thickBot="1" x14ac:dyDescent="0.4">
      <c r="A48" s="193" t="s">
        <v>37</v>
      </c>
      <c r="B48" s="127">
        <f>VLOOKUP("T2_est35",CHAS!$C$1:$J$2762,2,FALSE) +VLOOKUP("T2_est159",CHAS!$C$1:$J$2762,2,FALSE)</f>
        <v>55</v>
      </c>
      <c r="C48" s="127">
        <f>VLOOKUP("T2_est76",CHAS!$C$1:$J$2762,2,FALSE) +VLOOKUP("T2_est200",CHAS!$C$1:$J$2762,2,FALSE)</f>
        <v>795</v>
      </c>
      <c r="D48" s="127">
        <f>VLOOKUP("T2_est117",CHAS!$C$1:$J$2762,2,FALSE) +VLOOKUP("T2_est241",CHAS!$C$1:$J$2762,2,FALSE)</f>
        <v>0</v>
      </c>
    </row>
    <row r="49" spans="1:4" x14ac:dyDescent="0.35">
      <c r="A49" s="12" t="s">
        <v>4171</v>
      </c>
      <c r="D49" s="11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13"/>
  <sheetViews>
    <sheetView workbookViewId="0"/>
  </sheetViews>
  <sheetFormatPr defaultRowHeight="14.5" x14ac:dyDescent="0.35"/>
  <cols>
    <col min="1" max="1" width="57.81640625" bestFit="1" customWidth="1"/>
    <col min="5" max="5" width="35.1796875" bestFit="1" customWidth="1"/>
  </cols>
  <sheetData>
    <row r="1" spans="1:7" x14ac:dyDescent="0.35">
      <c r="A1" s="35" t="s">
        <v>64</v>
      </c>
      <c r="B1" s="37"/>
      <c r="C1" s="37"/>
      <c r="D1" s="37"/>
      <c r="E1" s="37"/>
    </row>
    <row r="3" spans="1:7" ht="15" thickBot="1" x14ac:dyDescent="0.4">
      <c r="A3" s="9" t="s">
        <v>174</v>
      </c>
      <c r="E3" s="39"/>
    </row>
    <row r="4" spans="1:7" ht="15" thickBot="1" x14ac:dyDescent="0.4">
      <c r="A4" s="22" t="s">
        <v>65</v>
      </c>
      <c r="B4" s="6" t="s">
        <v>66</v>
      </c>
      <c r="C4" s="6" t="s">
        <v>67</v>
      </c>
      <c r="D4" s="6" t="s">
        <v>68</v>
      </c>
      <c r="E4" s="6" t="s">
        <v>69</v>
      </c>
    </row>
    <row r="5" spans="1:7" ht="15" thickBot="1" x14ac:dyDescent="0.4">
      <c r="A5" s="7" t="s">
        <v>49</v>
      </c>
      <c r="B5" s="48">
        <f>SUM(B6:B12)</f>
        <v>578065</v>
      </c>
      <c r="C5" s="48">
        <f t="shared" ref="C5:E5" si="0">SUM(C6:C12)</f>
        <v>165940</v>
      </c>
      <c r="D5" s="48">
        <f t="shared" si="0"/>
        <v>150430</v>
      </c>
      <c r="E5" s="48">
        <f t="shared" si="0"/>
        <v>14605</v>
      </c>
      <c r="G5" s="41"/>
    </row>
    <row r="6" spans="1:7" ht="15" thickBot="1" x14ac:dyDescent="0.4">
      <c r="A6" s="7" t="s">
        <v>50</v>
      </c>
      <c r="B6" s="48">
        <f>VLOOKUP("T9_est4",CHAS!$C$1:$J$2762,2,FALSE) +VLOOKUP("T9_est40",CHAS!$C$1:$J$2762,2,FALSE)</f>
        <v>382490</v>
      </c>
      <c r="C6" s="48">
        <f>VLOOKUP("T9_est5",CHAS!$C$1:$J$2762,2,FALSE) +VLOOKUP("T9_est41",CHAS!$C$1:$J$2762,2,FALSE)</f>
        <v>95250</v>
      </c>
      <c r="D6" s="48">
        <f>VLOOKUP("T9_est6",CHAS!$C$1:$J$2762,2,FALSE) +VLOOKUP("T9_est42",CHAS!$C$1:$J$2762,2,FALSE)</f>
        <v>81855</v>
      </c>
      <c r="E6" s="48">
        <f>VLOOKUP("T9_est7",CHAS!$C$1:$J$2762,2,FALSE) +VLOOKUP("T9_est43",CHAS!$C$1:$J$2762,2,FALSE)</f>
        <v>6265</v>
      </c>
      <c r="G6" s="41"/>
    </row>
    <row r="7" spans="1:7" ht="15" thickBot="1" x14ac:dyDescent="0.4">
      <c r="A7" s="7" t="s">
        <v>51</v>
      </c>
      <c r="B7" s="48">
        <f>VLOOKUP("T9_est9",CHAS!$C$1:$J$2762,2,FALSE) +VLOOKUP("T9_est45",CHAS!$C$1:$J$2762,2,FALSE)</f>
        <v>76555</v>
      </c>
      <c r="C7" s="48">
        <f>VLOOKUP("T9_est10",CHAS!$C$1:$J$2762,2,FALSE) +VLOOKUP("T9_est46",CHAS!$C$1:$J$2762,2,FALSE)</f>
        <v>29040</v>
      </c>
      <c r="D7" s="48">
        <f>VLOOKUP("T9_est11",CHAS!$C$1:$J$2762,2,FALSE) +VLOOKUP("T9_est47",CHAS!$C$1:$J$2762,2,FALSE)</f>
        <v>35080</v>
      </c>
      <c r="E7" s="48">
        <f>VLOOKUP("T9_est12",CHAS!$C$1:$J$2762,2,FALSE) +VLOOKUP("T9_est48",CHAS!$C$1:$J$2762,2,FALSE)</f>
        <v>5735</v>
      </c>
      <c r="F7" s="41"/>
    </row>
    <row r="8" spans="1:7" ht="15" thickBot="1" x14ac:dyDescent="0.4">
      <c r="A8" s="7" t="s">
        <v>52</v>
      </c>
      <c r="B8" s="48">
        <f>VLOOKUP("T9_est14",CHAS!$C$1:$J$2762,2,FALSE) +VLOOKUP("T9_est50",CHAS!$C$1:$J$2762,2,FALSE)</f>
        <v>40010</v>
      </c>
      <c r="C8" s="48">
        <f>VLOOKUP("T9_est15",CHAS!$C$1:$J$2762,2,FALSE) +VLOOKUP("T9_est51",CHAS!$C$1:$J$2762,2,FALSE)</f>
        <v>10735</v>
      </c>
      <c r="D8" s="48">
        <f>VLOOKUP("T9_est16",CHAS!$C$1:$J$2762,2,FALSE) +VLOOKUP("T9_est52",CHAS!$C$1:$J$2762,2,FALSE)</f>
        <v>8430</v>
      </c>
      <c r="E8" s="48">
        <f>VLOOKUP("T9_est17",CHAS!$C$1:$J$2762,2,FALSE) +VLOOKUP("T9_est53",CHAS!$C$1:$J$2762,2,FALSE)</f>
        <v>1030</v>
      </c>
    </row>
    <row r="9" spans="1:7" ht="15" thickBot="1" x14ac:dyDescent="0.4">
      <c r="A9" s="7" t="s">
        <v>53</v>
      </c>
      <c r="B9" s="48">
        <f>VLOOKUP("T9_est19",CHAS!$C$1:$J$2762,2,FALSE) +VLOOKUP("T9_est55",CHAS!$C$1:$J$2762,2,FALSE)</f>
        <v>490</v>
      </c>
      <c r="C9" s="48">
        <f>VLOOKUP("T9_est20",CHAS!$C$1:$J$2762,2,FALSE) +VLOOKUP("T9_est56",CHAS!$C$1:$J$2762,2,FALSE)</f>
        <v>270</v>
      </c>
      <c r="D9" s="48">
        <f>VLOOKUP("T9_est21",CHAS!$C$1:$J$2762,2,FALSE) +VLOOKUP("T9_est57",CHAS!$C$1:$J$2762,2,FALSE)</f>
        <v>190</v>
      </c>
      <c r="E9" s="48">
        <f>VLOOKUP("T9_est22",CHAS!$C$1:$J$2762,2,FALSE) +VLOOKUP("T9_est58",CHAS!$C$1:$J$2762,2,FALSE)</f>
        <v>0</v>
      </c>
    </row>
    <row r="10" spans="1:7" ht="15" thickBot="1" x14ac:dyDescent="0.4">
      <c r="A10" s="7" t="s">
        <v>54</v>
      </c>
      <c r="B10" s="48">
        <f>VLOOKUP("T9_est24",CHAS!$C$1:$J$2762,2,FALSE) +VLOOKUP("T9_est60",CHAS!$C$1:$J$2762,2,FALSE)</f>
        <v>125</v>
      </c>
      <c r="C10" s="48">
        <f>VLOOKUP("T9_est25",CHAS!$C$1:$J$2762,2,FALSE) +VLOOKUP("T9_est61",CHAS!$C$1:$J$2762,2,FALSE)</f>
        <v>55</v>
      </c>
      <c r="D10" s="48">
        <f>VLOOKUP("T9_est26",CHAS!$C$1:$J$2762,2,FALSE) +VLOOKUP("T9_est62",CHAS!$C$1:$J$2762,2,FALSE)</f>
        <v>10</v>
      </c>
      <c r="E10" s="48">
        <f>VLOOKUP("T9_est27",CHAS!$C$1:$J$2762,2,FALSE) +VLOOKUP("T9_est63",CHAS!$C$1:$J$2762,2,FALSE)</f>
        <v>0</v>
      </c>
    </row>
    <row r="11" spans="1:7" ht="15" thickBot="1" x14ac:dyDescent="0.4">
      <c r="A11" s="7" t="s">
        <v>55</v>
      </c>
      <c r="B11" s="48">
        <f>VLOOKUP("T9_est29",CHAS!$C$1:$J$2762,2,FALSE) +VLOOKUP("T9_est65",CHAS!$C$1:$J$2762,2,FALSE)</f>
        <v>72560</v>
      </c>
      <c r="C11" s="48">
        <f>VLOOKUP("T9_est30",CHAS!$C$1:$J$2762,2,FALSE) +VLOOKUP("T9_est66",CHAS!$C$1:$J$2762,2,FALSE)</f>
        <v>28735</v>
      </c>
      <c r="D11" s="48">
        <f>VLOOKUP("T9_est31",CHAS!$C$1:$J$2762,2,FALSE) +VLOOKUP("T9_est67",CHAS!$C$1:$J$2762,2,FALSE)</f>
        <v>23115</v>
      </c>
      <c r="E11" s="48">
        <f>VLOOKUP("T9_est32",CHAS!$C$1:$J$2762,2,FALSE) +VLOOKUP("T9_est68",CHAS!$C$1:$J$2762,2,FALSE)</f>
        <v>1390</v>
      </c>
    </row>
    <row r="12" spans="1:7" s="189" customFormat="1" ht="15" thickBot="1" x14ac:dyDescent="0.4">
      <c r="A12" s="194" t="s">
        <v>37</v>
      </c>
      <c r="B12" s="48">
        <f>VLOOKUP("T9_est34",CHAS!$C$1:$J$2762,2,FALSE) +VLOOKUP("T9_est70",CHAS!$C$1:$J$2762,2,FALSE)</f>
        <v>5835</v>
      </c>
      <c r="C12" s="48">
        <f>VLOOKUP("T9_est35",CHAS!$C$1:$J$2762,2,FALSE) +VLOOKUP("T9_est71",CHAS!$C$1:$J$2762,2,FALSE)</f>
        <v>1855</v>
      </c>
      <c r="D12" s="48">
        <f>VLOOKUP("T9_est36",CHAS!$C$1:$J$2762,2,FALSE) +VLOOKUP("T9_est72",CHAS!$C$1:$J$2762,2,FALSE)</f>
        <v>1750</v>
      </c>
      <c r="E12" s="48">
        <f>VLOOKUP("T9_est37",CHAS!$C$1:$J$2762,2,FALSE) +VLOOKUP("T9_est73",CHAS!$C$1:$J$2762,2,FALSE)</f>
        <v>185</v>
      </c>
    </row>
    <row r="13" spans="1:7" x14ac:dyDescent="0.35">
      <c r="A13" s="12" t="s">
        <v>4171</v>
      </c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W59"/>
  <sheetViews>
    <sheetView topLeftCell="A13" workbookViewId="0">
      <selection sqref="A1:J59"/>
    </sheetView>
  </sheetViews>
  <sheetFormatPr defaultRowHeight="14.5" x14ac:dyDescent="0.35"/>
  <cols>
    <col min="1" max="1" width="49.81640625" customWidth="1"/>
    <col min="2" max="3" width="9.26953125" bestFit="1" customWidth="1"/>
    <col min="4" max="4" width="13.453125" customWidth="1"/>
    <col min="5" max="5" width="10.54296875" bestFit="1" customWidth="1"/>
    <col min="6" max="6" width="9.54296875" bestFit="1" customWidth="1"/>
    <col min="7" max="7" width="10.54296875" bestFit="1" customWidth="1"/>
    <col min="8" max="8" width="10" customWidth="1"/>
    <col min="9" max="10" width="9.26953125" bestFit="1" customWidth="1"/>
  </cols>
  <sheetData>
    <row r="1" spans="1:22" x14ac:dyDescent="0.35">
      <c r="A1" s="206" t="s">
        <v>70</v>
      </c>
      <c r="B1" s="207"/>
      <c r="C1" s="199"/>
      <c r="D1" s="199"/>
      <c r="E1" s="199"/>
      <c r="F1" s="199"/>
      <c r="G1" s="199"/>
      <c r="H1" s="199"/>
      <c r="I1" s="199"/>
      <c r="J1" s="199"/>
    </row>
    <row r="2" spans="1:22" x14ac:dyDescent="0.35">
      <c r="A2" s="198"/>
      <c r="B2" s="198"/>
      <c r="C2" s="198"/>
      <c r="D2" s="198"/>
      <c r="E2" s="198"/>
      <c r="F2" s="198"/>
      <c r="G2" s="198"/>
      <c r="H2" s="198"/>
      <c r="I2" s="198"/>
      <c r="J2" s="198"/>
    </row>
    <row r="3" spans="1:22" ht="15" thickBot="1" x14ac:dyDescent="0.4">
      <c r="A3" s="201" t="s">
        <v>83</v>
      </c>
      <c r="B3" s="199"/>
      <c r="C3" s="199"/>
      <c r="D3" s="199"/>
      <c r="E3" s="199"/>
      <c r="F3" s="199"/>
      <c r="G3" s="199"/>
      <c r="H3" s="199"/>
      <c r="I3" s="199"/>
      <c r="J3" s="199"/>
    </row>
    <row r="4" spans="1:22" ht="15" thickBot="1" x14ac:dyDescent="0.4">
      <c r="A4" s="265" t="s">
        <v>71</v>
      </c>
      <c r="B4" s="266"/>
      <c r="C4" s="266"/>
      <c r="D4" s="266"/>
      <c r="E4" s="266"/>
      <c r="F4" s="266"/>
      <c r="G4" s="266"/>
      <c r="H4" s="266"/>
      <c r="I4" s="266"/>
      <c r="J4" s="267"/>
    </row>
    <row r="5" spans="1:22" ht="15" customHeight="1" thickBot="1" x14ac:dyDescent="0.4">
      <c r="A5" s="272"/>
      <c r="B5" s="272" t="s">
        <v>72</v>
      </c>
      <c r="C5" s="272" t="s">
        <v>73</v>
      </c>
      <c r="D5" s="272" t="s">
        <v>74</v>
      </c>
      <c r="E5" s="265" t="s">
        <v>75</v>
      </c>
      <c r="F5" s="266"/>
      <c r="G5" s="266"/>
      <c r="H5" s="266"/>
      <c r="I5" s="266"/>
      <c r="J5" s="267"/>
    </row>
    <row r="6" spans="1:22" ht="15" customHeight="1" thickBot="1" x14ac:dyDescent="0.4">
      <c r="A6" s="273"/>
      <c r="B6" s="273"/>
      <c r="C6" s="273"/>
      <c r="D6" s="273"/>
      <c r="E6" s="272" t="s">
        <v>26</v>
      </c>
      <c r="F6" s="272" t="s">
        <v>76</v>
      </c>
      <c r="G6" s="272" t="s">
        <v>77</v>
      </c>
      <c r="H6" s="265" t="s">
        <v>78</v>
      </c>
      <c r="I6" s="266"/>
      <c r="J6" s="267"/>
    </row>
    <row r="7" spans="1:22" ht="35.25" customHeight="1" x14ac:dyDescent="0.35">
      <c r="A7" s="273"/>
      <c r="B7" s="273"/>
      <c r="C7" s="273"/>
      <c r="D7" s="273"/>
      <c r="E7" s="273"/>
      <c r="F7" s="273"/>
      <c r="G7" s="273"/>
      <c r="H7" s="272" t="s">
        <v>79</v>
      </c>
      <c r="I7" s="272" t="s">
        <v>80</v>
      </c>
      <c r="J7" s="204" t="s">
        <v>81</v>
      </c>
      <c r="M7" s="79"/>
      <c r="N7" s="79"/>
      <c r="O7" s="79"/>
      <c r="P7" s="80"/>
      <c r="Q7" s="80"/>
      <c r="R7" s="80"/>
      <c r="S7" s="81"/>
      <c r="T7" s="81"/>
      <c r="U7" s="80"/>
    </row>
    <row r="8" spans="1:22" ht="15" thickBot="1" x14ac:dyDescent="0.4">
      <c r="A8" s="274"/>
      <c r="B8" s="274"/>
      <c r="C8" s="274"/>
      <c r="D8" s="273"/>
      <c r="E8" s="273"/>
      <c r="F8" s="273"/>
      <c r="G8" s="273"/>
      <c r="H8" s="273"/>
      <c r="I8" s="273"/>
      <c r="J8" s="204" t="s">
        <v>82</v>
      </c>
      <c r="M8" s="78"/>
      <c r="N8" s="78"/>
      <c r="O8" s="80"/>
      <c r="P8" s="80"/>
      <c r="Q8" s="80"/>
      <c r="R8" s="80"/>
      <c r="S8" s="81"/>
      <c r="T8" s="81"/>
      <c r="U8" s="80"/>
    </row>
    <row r="9" spans="1:22" ht="15" thickBot="1" x14ac:dyDescent="0.4">
      <c r="A9" s="215" t="s">
        <v>323</v>
      </c>
      <c r="B9" s="221" t="s">
        <v>4199</v>
      </c>
      <c r="C9" s="222" t="s">
        <v>4199</v>
      </c>
      <c r="D9" s="223">
        <v>244</v>
      </c>
      <c r="E9" s="223">
        <v>13908</v>
      </c>
      <c r="F9" s="223">
        <v>904</v>
      </c>
      <c r="G9" s="223">
        <v>12925</v>
      </c>
      <c r="H9" s="223">
        <v>417</v>
      </c>
      <c r="I9" s="223">
        <v>100</v>
      </c>
      <c r="J9" s="223" t="s">
        <v>4199</v>
      </c>
      <c r="M9" s="78"/>
      <c r="N9" s="78"/>
      <c r="O9" s="78"/>
      <c r="P9" s="78"/>
      <c r="Q9" s="78"/>
      <c r="R9" s="78"/>
      <c r="S9" s="78"/>
      <c r="T9" s="78"/>
      <c r="U9" s="78"/>
    </row>
    <row r="10" spans="1:22" s="160" customFormat="1" x14ac:dyDescent="0.35">
      <c r="A10" s="199" t="s">
        <v>4200</v>
      </c>
      <c r="B10" s="199"/>
      <c r="C10" s="199"/>
      <c r="D10" s="199"/>
      <c r="E10" s="199"/>
      <c r="F10" s="199"/>
      <c r="G10" s="199"/>
      <c r="H10" s="199"/>
      <c r="I10" s="199"/>
      <c r="J10" s="199"/>
      <c r="M10" s="78"/>
      <c r="N10" s="78"/>
      <c r="O10" s="78"/>
      <c r="P10" s="78"/>
      <c r="Q10" s="78"/>
      <c r="R10" s="78"/>
      <c r="S10" s="78"/>
      <c r="T10" s="78"/>
      <c r="U10" s="78"/>
    </row>
    <row r="11" spans="1:22" x14ac:dyDescent="0.35">
      <c r="A11" s="275" t="s">
        <v>206</v>
      </c>
      <c r="B11" s="275"/>
      <c r="C11" s="275"/>
      <c r="D11" s="275"/>
      <c r="E11" s="275"/>
      <c r="F11" s="275"/>
      <c r="G11" s="275"/>
      <c r="H11" s="275"/>
      <c r="I11" s="275"/>
      <c r="J11" s="275"/>
      <c r="M11" s="78"/>
      <c r="N11" s="78"/>
      <c r="O11" s="78"/>
      <c r="P11" s="78"/>
      <c r="Q11" s="78"/>
      <c r="R11" s="78"/>
      <c r="S11" s="78"/>
      <c r="T11" s="78"/>
      <c r="U11" s="78"/>
    </row>
    <row r="12" spans="1:22" x14ac:dyDescent="0.35">
      <c r="A12" s="198"/>
      <c r="B12" s="198"/>
      <c r="C12" s="198"/>
      <c r="D12" s="198"/>
      <c r="E12" s="198"/>
      <c r="F12" s="198"/>
      <c r="G12" s="198"/>
      <c r="H12" s="198"/>
      <c r="I12" s="198"/>
      <c r="J12" s="198"/>
    </row>
    <row r="13" spans="1:22" s="82" customFormat="1" x14ac:dyDescent="0.35">
      <c r="A13" s="205" t="s">
        <v>172</v>
      </c>
      <c r="B13" s="199"/>
      <c r="C13" s="199"/>
      <c r="D13" s="199"/>
      <c r="E13" s="199"/>
      <c r="F13" s="199"/>
      <c r="G13" s="199"/>
      <c r="H13" s="199"/>
      <c r="I13" s="199"/>
      <c r="J13" s="199"/>
    </row>
    <row r="14" spans="1:22" s="92" customFormat="1" ht="15" thickBot="1" x14ac:dyDescent="0.4">
      <c r="A14" s="201" t="s">
        <v>84</v>
      </c>
      <c r="B14" s="199"/>
      <c r="C14" s="199"/>
      <c r="D14" s="199"/>
      <c r="E14" s="199"/>
      <c r="F14" s="199"/>
      <c r="G14" s="199"/>
      <c r="H14" s="199"/>
      <c r="I14" s="199"/>
      <c r="J14" s="199"/>
    </row>
    <row r="15" spans="1:22" s="108" customFormat="1" ht="15" thickBot="1" x14ac:dyDescent="0.4">
      <c r="A15" s="265" t="s">
        <v>71</v>
      </c>
      <c r="B15" s="266"/>
      <c r="C15" s="266"/>
      <c r="D15" s="266"/>
      <c r="E15" s="266"/>
      <c r="F15" s="266"/>
      <c r="G15" s="266"/>
      <c r="H15" s="266"/>
      <c r="I15" s="266"/>
      <c r="J15" s="267"/>
    </row>
    <row r="16" spans="1:22" ht="15" customHeight="1" thickBot="1" x14ac:dyDescent="0.4">
      <c r="A16" s="273"/>
      <c r="B16" s="273" t="s">
        <v>72</v>
      </c>
      <c r="C16" s="273" t="s">
        <v>73</v>
      </c>
      <c r="D16" s="273" t="s">
        <v>74</v>
      </c>
      <c r="E16" s="265" t="s">
        <v>75</v>
      </c>
      <c r="F16" s="266"/>
      <c r="G16" s="266"/>
      <c r="H16" s="266"/>
      <c r="I16" s="266"/>
      <c r="J16" s="267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</row>
    <row r="17" spans="1:23" ht="15" customHeight="1" thickBot="1" x14ac:dyDescent="0.4">
      <c r="A17" s="273"/>
      <c r="B17" s="273"/>
      <c r="C17" s="273"/>
      <c r="D17" s="273"/>
      <c r="E17" s="273" t="s">
        <v>26</v>
      </c>
      <c r="F17" s="273" t="s">
        <v>76</v>
      </c>
      <c r="G17" s="273" t="s">
        <v>77</v>
      </c>
      <c r="H17" s="265" t="s">
        <v>78</v>
      </c>
      <c r="I17" s="266"/>
      <c r="J17" s="267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</row>
    <row r="18" spans="1:23" ht="14.5" customHeight="1" x14ac:dyDescent="0.35">
      <c r="A18" s="273"/>
      <c r="B18" s="273"/>
      <c r="C18" s="273"/>
      <c r="D18" s="273"/>
      <c r="E18" s="273"/>
      <c r="F18" s="273"/>
      <c r="G18" s="273"/>
      <c r="H18" s="272" t="s">
        <v>79</v>
      </c>
      <c r="I18" s="272" t="s">
        <v>80</v>
      </c>
      <c r="J18" s="211" t="s">
        <v>81</v>
      </c>
      <c r="L18" s="83"/>
      <c r="M18" s="83"/>
      <c r="N18" s="86"/>
      <c r="O18" s="87"/>
      <c r="P18" s="83"/>
      <c r="Q18" s="88"/>
      <c r="R18" s="83"/>
      <c r="S18" s="83"/>
      <c r="T18" s="83"/>
      <c r="U18" s="76"/>
      <c r="V18" s="76"/>
    </row>
    <row r="19" spans="1:23" ht="31.5" customHeight="1" thickBot="1" x14ac:dyDescent="0.4">
      <c r="A19" s="274"/>
      <c r="B19" s="274"/>
      <c r="C19" s="274"/>
      <c r="D19" s="274"/>
      <c r="E19" s="274"/>
      <c r="F19" s="274"/>
      <c r="G19" s="274"/>
      <c r="H19" s="274"/>
      <c r="I19" s="274"/>
      <c r="J19" s="212" t="s">
        <v>82</v>
      </c>
      <c r="L19" s="87"/>
      <c r="M19" s="83"/>
      <c r="N19" s="86"/>
      <c r="O19" s="87"/>
      <c r="P19" s="87"/>
      <c r="Q19" s="84"/>
      <c r="R19" s="87"/>
      <c r="S19" s="87"/>
      <c r="T19" s="87"/>
      <c r="U19" s="76"/>
      <c r="V19" s="76"/>
    </row>
    <row r="20" spans="1:23" ht="15" thickBot="1" x14ac:dyDescent="0.4">
      <c r="A20" s="203" t="s">
        <v>85</v>
      </c>
      <c r="B20" s="209" t="s">
        <v>4199</v>
      </c>
      <c r="C20" s="209" t="s">
        <v>4199</v>
      </c>
      <c r="D20" s="213">
        <v>21</v>
      </c>
      <c r="E20" s="216">
        <v>692</v>
      </c>
      <c r="F20" s="210">
        <v>138</v>
      </c>
      <c r="G20" s="208">
        <v>156</v>
      </c>
      <c r="H20" s="210">
        <v>372</v>
      </c>
      <c r="I20" s="210">
        <v>19</v>
      </c>
      <c r="J20" s="209" t="s">
        <v>4199</v>
      </c>
      <c r="L20" s="87"/>
      <c r="M20" s="83"/>
      <c r="N20" s="87"/>
      <c r="O20" s="87"/>
      <c r="P20" s="87"/>
      <c r="Q20" s="84"/>
      <c r="R20" s="87"/>
      <c r="S20" s="87"/>
      <c r="T20" s="87"/>
      <c r="U20" s="76"/>
      <c r="V20" s="76"/>
    </row>
    <row r="21" spans="1:23" ht="15" thickBot="1" x14ac:dyDescent="0.4">
      <c r="A21" s="200" t="s">
        <v>86</v>
      </c>
      <c r="B21" s="209" t="s">
        <v>4199</v>
      </c>
      <c r="C21" s="209" t="s">
        <v>4199</v>
      </c>
      <c r="D21" s="217">
        <v>123</v>
      </c>
      <c r="E21" s="216">
        <v>3397</v>
      </c>
      <c r="F21" s="216">
        <v>427</v>
      </c>
      <c r="G21" s="208">
        <v>2959</v>
      </c>
      <c r="H21" s="214">
        <v>133</v>
      </c>
      <c r="I21" s="214">
        <v>2</v>
      </c>
      <c r="J21" s="209" t="s">
        <v>4199</v>
      </c>
      <c r="L21" s="83"/>
      <c r="M21" s="83"/>
      <c r="N21" s="83"/>
      <c r="O21" s="87"/>
      <c r="P21" s="83"/>
      <c r="Q21" s="84"/>
      <c r="R21" s="83"/>
      <c r="S21" s="83"/>
      <c r="T21" s="83"/>
      <c r="U21" s="76"/>
      <c r="V21" s="76"/>
    </row>
    <row r="22" spans="1:23" ht="18" customHeight="1" thickBot="1" x14ac:dyDescent="0.4">
      <c r="A22" s="200" t="s">
        <v>87</v>
      </c>
      <c r="B22" s="209" t="s">
        <v>4199</v>
      </c>
      <c r="C22" s="209" t="s">
        <v>4199</v>
      </c>
      <c r="D22" s="216">
        <v>96</v>
      </c>
      <c r="E22" s="216">
        <v>5067</v>
      </c>
      <c r="F22" s="216">
        <v>426</v>
      </c>
      <c r="G22" s="208">
        <v>4623</v>
      </c>
      <c r="H22" s="214">
        <v>152</v>
      </c>
      <c r="I22" s="214">
        <v>19</v>
      </c>
      <c r="J22" s="209" t="s">
        <v>4199</v>
      </c>
      <c r="L22" s="83"/>
      <c r="M22" s="83"/>
      <c r="N22" s="83"/>
      <c r="O22" s="87"/>
      <c r="P22" s="83"/>
      <c r="Q22" s="88"/>
      <c r="R22" s="83"/>
      <c r="S22" s="83"/>
      <c r="T22" s="83"/>
      <c r="U22" s="76"/>
      <c r="V22" s="76"/>
    </row>
    <row r="23" spans="1:23" ht="50.25" customHeight="1" thickBot="1" x14ac:dyDescent="0.4">
      <c r="A23" s="200" t="s">
        <v>325</v>
      </c>
      <c r="B23" s="209" t="s">
        <v>4199</v>
      </c>
      <c r="C23" s="209" t="s">
        <v>4199</v>
      </c>
      <c r="D23" s="209" t="s">
        <v>4199</v>
      </c>
      <c r="E23" s="209" t="s">
        <v>4199</v>
      </c>
      <c r="F23" s="209" t="s">
        <v>4199</v>
      </c>
      <c r="G23" s="209" t="s">
        <v>4199</v>
      </c>
      <c r="H23" s="209" t="s">
        <v>4199</v>
      </c>
      <c r="I23" s="209" t="s">
        <v>4199</v>
      </c>
      <c r="J23" s="209" t="s">
        <v>4199</v>
      </c>
      <c r="L23" s="83"/>
      <c r="M23" s="87"/>
      <c r="N23" s="83"/>
      <c r="O23" s="95"/>
      <c r="P23" s="83"/>
      <c r="Q23" s="84"/>
      <c r="R23" s="83"/>
      <c r="S23" s="83"/>
      <c r="T23" s="83"/>
      <c r="U23" s="76"/>
      <c r="V23" s="76"/>
    </row>
    <row r="24" spans="1:23" ht="23.25" customHeight="1" thickBot="1" x14ac:dyDescent="0.4">
      <c r="A24" s="200" t="s">
        <v>88</v>
      </c>
      <c r="B24" s="210" t="s">
        <v>4199</v>
      </c>
      <c r="C24" s="210" t="s">
        <v>4199</v>
      </c>
      <c r="D24" s="210" t="s">
        <v>4199</v>
      </c>
      <c r="E24" s="210" t="s">
        <v>4199</v>
      </c>
      <c r="F24" s="210" t="s">
        <v>4199</v>
      </c>
      <c r="G24" s="210" t="s">
        <v>4199</v>
      </c>
      <c r="H24" s="210" t="s">
        <v>4199</v>
      </c>
      <c r="I24" s="210" t="s">
        <v>4199</v>
      </c>
      <c r="J24" s="210" t="s">
        <v>4199</v>
      </c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</row>
    <row r="25" spans="1:23" ht="15" thickBot="1" x14ac:dyDescent="0.4">
      <c r="A25" s="200" t="s">
        <v>89</v>
      </c>
      <c r="B25" s="210" t="s">
        <v>4199</v>
      </c>
      <c r="C25" s="210" t="s">
        <v>4199</v>
      </c>
      <c r="D25" s="210" t="s">
        <v>4199</v>
      </c>
      <c r="E25" s="210" t="s">
        <v>4199</v>
      </c>
      <c r="F25" s="210" t="s">
        <v>4199</v>
      </c>
      <c r="G25" s="210" t="s">
        <v>4199</v>
      </c>
      <c r="H25" s="210" t="s">
        <v>4199</v>
      </c>
      <c r="I25" s="210" t="s">
        <v>4199</v>
      </c>
      <c r="J25" s="210" t="s">
        <v>4199</v>
      </c>
      <c r="L25" s="76"/>
      <c r="M25" s="76"/>
      <c r="N25" s="78"/>
      <c r="O25" s="76"/>
      <c r="P25" s="76"/>
      <c r="Q25" s="76"/>
      <c r="R25" s="76"/>
      <c r="S25" s="76"/>
      <c r="T25" s="76"/>
      <c r="U25" s="76"/>
      <c r="V25" s="76"/>
      <c r="W25" s="76"/>
    </row>
    <row r="26" spans="1:23" x14ac:dyDescent="0.35">
      <c r="A26" s="199" t="s">
        <v>4200</v>
      </c>
      <c r="B26" s="199"/>
      <c r="C26" s="199"/>
      <c r="D26" s="199"/>
      <c r="E26" s="199"/>
      <c r="F26" s="199"/>
      <c r="G26" s="199"/>
      <c r="H26" s="199"/>
      <c r="I26" s="199"/>
      <c r="J26" s="199"/>
      <c r="L26" s="76"/>
      <c r="M26" s="96"/>
      <c r="N26" s="76"/>
      <c r="O26" s="76"/>
      <c r="P26" s="76"/>
      <c r="Q26" s="77"/>
      <c r="R26" s="76"/>
      <c r="S26" s="76"/>
      <c r="T26" s="76"/>
      <c r="U26" s="76"/>
      <c r="V26" s="76"/>
      <c r="W26" s="76"/>
    </row>
    <row r="27" spans="1:23" x14ac:dyDescent="0.35">
      <c r="A27" s="275" t="s">
        <v>206</v>
      </c>
      <c r="B27" s="275"/>
      <c r="C27" s="275"/>
      <c r="D27" s="275"/>
      <c r="E27" s="275"/>
      <c r="F27" s="275"/>
      <c r="G27" s="275"/>
      <c r="H27" s="275"/>
      <c r="I27" s="275"/>
      <c r="J27" s="275"/>
      <c r="L27" s="76"/>
      <c r="M27" s="97"/>
      <c r="N27" s="76"/>
      <c r="O27" s="76"/>
      <c r="P27" s="76"/>
      <c r="Q27" s="76"/>
      <c r="R27" s="76"/>
      <c r="S27" s="74"/>
      <c r="T27" s="76"/>
      <c r="U27" s="76"/>
      <c r="V27" s="85"/>
      <c r="W27" s="76"/>
    </row>
    <row r="28" spans="1:23" x14ac:dyDescent="0.35">
      <c r="A28" s="199"/>
      <c r="B28" s="199"/>
      <c r="C28" s="199"/>
      <c r="D28" s="199"/>
      <c r="E28" s="199"/>
      <c r="F28" s="199"/>
      <c r="G28" s="199"/>
      <c r="H28" s="199"/>
      <c r="I28" s="199"/>
      <c r="J28" s="199"/>
      <c r="L28" s="76"/>
      <c r="M28" s="96"/>
      <c r="N28" s="76"/>
      <c r="O28" s="76"/>
      <c r="P28" s="76"/>
      <c r="Q28" s="76"/>
      <c r="R28" s="76"/>
      <c r="S28" s="76"/>
      <c r="T28" s="76"/>
      <c r="U28" s="76"/>
      <c r="V28" s="85"/>
      <c r="W28" s="76"/>
    </row>
    <row r="29" spans="1:23" ht="15" thickBot="1" x14ac:dyDescent="0.4">
      <c r="A29" s="201" t="s">
        <v>115</v>
      </c>
      <c r="B29" s="199"/>
      <c r="C29" s="199"/>
      <c r="D29" s="199"/>
      <c r="E29" s="199"/>
      <c r="F29" s="199"/>
      <c r="G29" s="199"/>
      <c r="H29" s="199"/>
      <c r="I29" s="199"/>
      <c r="J29" s="199"/>
      <c r="L29" s="76"/>
      <c r="M29" s="96"/>
      <c r="N29" s="76"/>
      <c r="O29" s="76"/>
      <c r="P29" s="76"/>
      <c r="Q29" s="77"/>
      <c r="R29" s="76"/>
      <c r="S29" s="76"/>
      <c r="T29" s="76"/>
      <c r="U29" s="76"/>
      <c r="V29" s="85"/>
      <c r="W29" s="76"/>
    </row>
    <row r="30" spans="1:23" ht="15" thickBot="1" x14ac:dyDescent="0.4">
      <c r="A30" s="265" t="s">
        <v>71</v>
      </c>
      <c r="B30" s="266"/>
      <c r="C30" s="266"/>
      <c r="D30" s="266"/>
      <c r="E30" s="266"/>
      <c r="F30" s="266"/>
      <c r="G30" s="266"/>
      <c r="H30" s="266"/>
      <c r="I30" s="266"/>
      <c r="J30" s="267"/>
      <c r="L30" s="76"/>
      <c r="M30" s="96"/>
      <c r="N30" s="76"/>
      <c r="O30" s="76"/>
      <c r="P30" s="76"/>
      <c r="Q30" s="77"/>
      <c r="R30" s="76"/>
      <c r="S30" s="76"/>
      <c r="T30" s="76"/>
      <c r="U30" s="76"/>
      <c r="V30" s="85"/>
      <c r="W30" s="76"/>
    </row>
    <row r="31" spans="1:23" ht="15" customHeight="1" thickBot="1" x14ac:dyDescent="0.4">
      <c r="A31" s="272"/>
      <c r="B31" s="272" t="s">
        <v>72</v>
      </c>
      <c r="C31" s="272" t="s">
        <v>73</v>
      </c>
      <c r="D31" s="272" t="s">
        <v>74</v>
      </c>
      <c r="E31" s="265" t="s">
        <v>75</v>
      </c>
      <c r="F31" s="266"/>
      <c r="G31" s="266"/>
      <c r="H31" s="266"/>
      <c r="I31" s="266"/>
      <c r="J31" s="267"/>
      <c r="L31" s="76"/>
      <c r="M31" s="96"/>
      <c r="N31" s="76"/>
      <c r="O31" s="76"/>
      <c r="P31" s="76"/>
      <c r="Q31" s="77"/>
      <c r="R31" s="76"/>
      <c r="S31" s="76"/>
      <c r="T31" s="76"/>
      <c r="U31" s="76"/>
      <c r="V31" s="85"/>
      <c r="W31" s="76"/>
    </row>
    <row r="32" spans="1:23" ht="15" customHeight="1" thickBot="1" x14ac:dyDescent="0.4">
      <c r="A32" s="273"/>
      <c r="B32" s="273"/>
      <c r="C32" s="273"/>
      <c r="D32" s="273"/>
      <c r="E32" s="272" t="s">
        <v>26</v>
      </c>
      <c r="F32" s="272" t="s">
        <v>76</v>
      </c>
      <c r="G32" s="272" t="s">
        <v>77</v>
      </c>
      <c r="H32" s="265" t="s">
        <v>78</v>
      </c>
      <c r="I32" s="266"/>
      <c r="J32" s="267"/>
      <c r="M32" s="76"/>
      <c r="N32" s="78"/>
      <c r="O32" s="76"/>
      <c r="P32" s="76"/>
      <c r="Q32" s="76"/>
      <c r="R32" s="76"/>
      <c r="S32" s="76"/>
      <c r="T32" s="76"/>
      <c r="U32" s="76"/>
    </row>
    <row r="33" spans="1:21" ht="14.5" customHeight="1" x14ac:dyDescent="0.35">
      <c r="A33" s="273"/>
      <c r="B33" s="273"/>
      <c r="C33" s="273"/>
      <c r="D33" s="273"/>
      <c r="E33" s="273"/>
      <c r="F33" s="273"/>
      <c r="G33" s="273"/>
      <c r="H33" s="272" t="s">
        <v>79</v>
      </c>
      <c r="I33" s="272" t="s">
        <v>80</v>
      </c>
      <c r="J33" s="204" t="s">
        <v>81</v>
      </c>
      <c r="M33" s="76"/>
      <c r="N33" s="76"/>
      <c r="O33" s="76"/>
      <c r="P33" s="76"/>
      <c r="Q33" s="76"/>
      <c r="R33" s="76"/>
      <c r="S33" s="76"/>
      <c r="T33" s="76"/>
      <c r="U33" s="76"/>
    </row>
    <row r="34" spans="1:21" ht="15" thickBot="1" x14ac:dyDescent="0.4">
      <c r="A34" s="274"/>
      <c r="B34" s="274"/>
      <c r="C34" s="274"/>
      <c r="D34" s="274"/>
      <c r="E34" s="274"/>
      <c r="F34" s="274"/>
      <c r="G34" s="274"/>
      <c r="H34" s="274"/>
      <c r="I34" s="274"/>
      <c r="J34" s="202" t="s">
        <v>82</v>
      </c>
      <c r="M34" s="76"/>
      <c r="N34" s="76"/>
      <c r="O34" s="76"/>
      <c r="P34" s="76"/>
      <c r="Q34" s="76"/>
      <c r="R34" s="76"/>
      <c r="S34" s="76"/>
      <c r="T34" s="76"/>
      <c r="U34" s="76"/>
    </row>
    <row r="35" spans="1:21" ht="15" thickBot="1" x14ac:dyDescent="0.4">
      <c r="A35" s="203" t="s">
        <v>50</v>
      </c>
      <c r="B35" s="209" t="s">
        <v>4199</v>
      </c>
      <c r="C35" s="209" t="s">
        <v>4199</v>
      </c>
      <c r="D35" s="218">
        <v>15</v>
      </c>
      <c r="E35" s="219">
        <v>2273</v>
      </c>
      <c r="F35" s="209">
        <v>400</v>
      </c>
      <c r="G35" s="209">
        <v>1865</v>
      </c>
      <c r="H35" s="209">
        <v>177</v>
      </c>
      <c r="I35" s="209">
        <v>34</v>
      </c>
      <c r="J35" s="209"/>
    </row>
    <row r="36" spans="1:21" ht="15" thickBot="1" x14ac:dyDescent="0.4">
      <c r="A36" s="200" t="s">
        <v>90</v>
      </c>
      <c r="B36" s="209" t="s">
        <v>4199</v>
      </c>
      <c r="C36" s="209" t="s">
        <v>4199</v>
      </c>
      <c r="D36" s="218">
        <v>226</v>
      </c>
      <c r="E36" s="219">
        <v>11539</v>
      </c>
      <c r="F36" s="209">
        <v>473</v>
      </c>
      <c r="G36" s="209">
        <v>10995</v>
      </c>
      <c r="H36" s="209">
        <v>232</v>
      </c>
      <c r="I36" s="209">
        <v>65</v>
      </c>
      <c r="J36" s="209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ht="15" thickBot="1" x14ac:dyDescent="0.4">
      <c r="A37" s="200" t="s">
        <v>52</v>
      </c>
      <c r="B37" s="209" t="s">
        <v>4199</v>
      </c>
      <c r="C37" s="209" t="s">
        <v>4199</v>
      </c>
      <c r="D37" s="218">
        <v>1</v>
      </c>
      <c r="E37" s="209">
        <v>52</v>
      </c>
      <c r="F37" s="209">
        <v>25</v>
      </c>
      <c r="G37" s="209">
        <v>27</v>
      </c>
      <c r="H37" s="209">
        <v>1</v>
      </c>
      <c r="I37" s="209">
        <v>0</v>
      </c>
      <c r="J37" s="209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1:21" ht="15.75" customHeight="1" thickBot="1" x14ac:dyDescent="0.4">
      <c r="A38" s="200" t="s">
        <v>91</v>
      </c>
      <c r="B38" s="209" t="s">
        <v>4199</v>
      </c>
      <c r="C38" s="209" t="s">
        <v>4199</v>
      </c>
      <c r="D38" s="218">
        <v>1</v>
      </c>
      <c r="E38" s="209">
        <v>31</v>
      </c>
      <c r="F38" s="209">
        <v>4</v>
      </c>
      <c r="G38" s="209">
        <v>27</v>
      </c>
      <c r="H38" s="209">
        <v>5</v>
      </c>
      <c r="I38" s="209">
        <v>1</v>
      </c>
      <c r="J38" s="209"/>
      <c r="L38" s="76"/>
      <c r="M38" s="100"/>
      <c r="N38" s="101"/>
      <c r="O38" s="101"/>
      <c r="P38" s="101"/>
      <c r="Q38" s="101"/>
      <c r="R38" s="101"/>
      <c r="S38" s="101"/>
      <c r="T38" s="101"/>
      <c r="U38" s="76"/>
    </row>
    <row r="39" spans="1:21" ht="15" customHeight="1" thickBot="1" x14ac:dyDescent="0.4">
      <c r="A39" s="200" t="s">
        <v>54</v>
      </c>
      <c r="B39" s="209" t="s">
        <v>4199</v>
      </c>
      <c r="C39" s="209" t="s">
        <v>4199</v>
      </c>
      <c r="D39" s="218">
        <v>1</v>
      </c>
      <c r="E39" s="209">
        <v>7</v>
      </c>
      <c r="F39" s="209">
        <v>1</v>
      </c>
      <c r="G39" s="209">
        <v>6</v>
      </c>
      <c r="H39" s="209">
        <v>0</v>
      </c>
      <c r="I39" s="209">
        <v>0</v>
      </c>
      <c r="J39" s="209"/>
      <c r="L39" s="76"/>
      <c r="M39" s="102"/>
      <c r="N39" s="101"/>
      <c r="O39" s="101"/>
      <c r="P39" s="101"/>
      <c r="Q39" s="101"/>
      <c r="R39" s="101"/>
      <c r="S39" s="101"/>
      <c r="T39" s="101"/>
      <c r="U39" s="76"/>
    </row>
    <row r="40" spans="1:21" ht="37.5" customHeight="1" thickBot="1" x14ac:dyDescent="0.4">
      <c r="A40" s="200" t="s">
        <v>37</v>
      </c>
      <c r="B40" s="209" t="s">
        <v>4199</v>
      </c>
      <c r="C40" s="209" t="s">
        <v>4199</v>
      </c>
      <c r="D40" s="218">
        <v>0</v>
      </c>
      <c r="E40" s="209">
        <v>6</v>
      </c>
      <c r="F40" s="209">
        <v>1</v>
      </c>
      <c r="G40" s="209">
        <v>5</v>
      </c>
      <c r="H40" s="209">
        <v>2</v>
      </c>
      <c r="I40" s="209">
        <v>0</v>
      </c>
      <c r="J40" s="209"/>
      <c r="L40" s="76"/>
      <c r="M40" s="102"/>
      <c r="N40" s="101"/>
      <c r="O40" s="101"/>
      <c r="P40" s="101"/>
      <c r="Q40" s="101"/>
      <c r="R40" s="98"/>
      <c r="S40" s="98"/>
      <c r="T40" s="99"/>
      <c r="U40" s="76"/>
    </row>
    <row r="41" spans="1:21" x14ac:dyDescent="0.35">
      <c r="A41" s="199" t="s">
        <v>4200</v>
      </c>
      <c r="B41" s="199"/>
      <c r="C41" s="199"/>
      <c r="D41" s="199"/>
      <c r="E41" s="199"/>
      <c r="F41" s="199"/>
      <c r="G41" s="199"/>
      <c r="H41" s="199"/>
      <c r="I41" s="199"/>
      <c r="J41" s="199"/>
      <c r="L41" s="76"/>
      <c r="M41" s="96"/>
      <c r="N41" s="76"/>
      <c r="O41" s="76"/>
      <c r="P41" s="76"/>
      <c r="Q41" s="76"/>
      <c r="R41" s="76"/>
      <c r="S41" s="76"/>
      <c r="T41" s="76"/>
      <c r="U41" s="76"/>
    </row>
    <row r="42" spans="1:21" x14ac:dyDescent="0.35">
      <c r="A42" s="199"/>
      <c r="B42" s="199"/>
      <c r="C42" s="199"/>
      <c r="D42" s="199"/>
      <c r="E42" s="199"/>
      <c r="F42" s="199"/>
      <c r="G42" s="199"/>
      <c r="H42" s="199"/>
      <c r="I42" s="199"/>
      <c r="J42" s="199"/>
      <c r="L42" s="76"/>
      <c r="M42" s="96"/>
      <c r="N42" s="76"/>
      <c r="O42" s="76"/>
      <c r="P42" s="76"/>
      <c r="Q42" s="76"/>
      <c r="R42" s="76"/>
      <c r="S42" s="76"/>
      <c r="T42" s="76"/>
      <c r="U42" s="76"/>
    </row>
    <row r="43" spans="1:21" x14ac:dyDescent="0.35">
      <c r="A43" s="199"/>
      <c r="B43" s="199"/>
      <c r="C43" s="199"/>
      <c r="D43" s="199"/>
      <c r="E43" s="199"/>
      <c r="F43" s="199"/>
      <c r="G43" s="199"/>
      <c r="H43" s="199"/>
      <c r="I43" s="199"/>
      <c r="J43" s="199"/>
      <c r="L43" s="76"/>
      <c r="M43" s="76"/>
      <c r="N43" s="76"/>
      <c r="O43" s="76"/>
      <c r="P43" s="78"/>
      <c r="Q43" s="76"/>
      <c r="R43" s="76"/>
      <c r="S43" s="76"/>
      <c r="T43" s="76"/>
      <c r="U43" s="76"/>
    </row>
    <row r="44" spans="1:21" ht="15" thickBot="1" x14ac:dyDescent="0.4">
      <c r="A44" s="201" t="s">
        <v>116</v>
      </c>
      <c r="B44" s="199"/>
      <c r="C44" s="199"/>
      <c r="D44" s="199"/>
      <c r="E44" s="199"/>
      <c r="F44" s="199"/>
      <c r="G44" s="199"/>
      <c r="H44" s="199"/>
      <c r="I44" s="199"/>
      <c r="J44" s="199"/>
      <c r="L44" s="76"/>
      <c r="M44" s="76"/>
      <c r="N44" s="76"/>
      <c r="O44" s="76"/>
      <c r="P44" s="78"/>
      <c r="Q44" s="76"/>
      <c r="R44" s="76"/>
      <c r="S44" s="76"/>
      <c r="T44" s="76"/>
      <c r="U44" s="76"/>
    </row>
    <row r="45" spans="1:21" ht="15" thickBot="1" x14ac:dyDescent="0.4">
      <c r="A45" s="265" t="s">
        <v>71</v>
      </c>
      <c r="B45" s="266"/>
      <c r="C45" s="266"/>
      <c r="D45" s="266"/>
      <c r="E45" s="266"/>
      <c r="F45" s="266"/>
      <c r="G45" s="266"/>
      <c r="H45" s="266"/>
      <c r="I45" s="266"/>
      <c r="J45" s="267"/>
      <c r="M45" s="76"/>
      <c r="N45" s="76"/>
      <c r="O45" s="76"/>
      <c r="P45" s="78"/>
      <c r="Q45" s="76"/>
      <c r="R45" s="76"/>
      <c r="S45" s="76"/>
    </row>
    <row r="46" spans="1:21" ht="15" customHeight="1" thickBot="1" x14ac:dyDescent="0.4">
      <c r="A46" s="272"/>
      <c r="B46" s="272" t="s">
        <v>72</v>
      </c>
      <c r="C46" s="272" t="s">
        <v>73</v>
      </c>
      <c r="D46" s="272" t="s">
        <v>74</v>
      </c>
      <c r="E46" s="265" t="s">
        <v>75</v>
      </c>
      <c r="F46" s="266"/>
      <c r="G46" s="266"/>
      <c r="H46" s="266"/>
      <c r="I46" s="266"/>
      <c r="J46" s="267"/>
      <c r="M46" s="76"/>
      <c r="N46" s="76"/>
      <c r="O46" s="78"/>
      <c r="P46" s="78"/>
      <c r="Q46" s="78"/>
      <c r="R46" s="76"/>
      <c r="S46" s="76"/>
    </row>
    <row r="47" spans="1:21" ht="15" customHeight="1" thickBot="1" x14ac:dyDescent="0.4">
      <c r="A47" s="273"/>
      <c r="B47" s="273"/>
      <c r="C47" s="273"/>
      <c r="D47" s="273"/>
      <c r="E47" s="272" t="s">
        <v>26</v>
      </c>
      <c r="F47" s="272" t="s">
        <v>76</v>
      </c>
      <c r="G47" s="272" t="s">
        <v>77</v>
      </c>
      <c r="H47" s="265" t="s">
        <v>78</v>
      </c>
      <c r="I47" s="266"/>
      <c r="J47" s="267"/>
      <c r="M47" s="76"/>
      <c r="N47" s="76"/>
      <c r="O47" s="78"/>
      <c r="P47" s="78"/>
      <c r="Q47" s="78"/>
      <c r="R47" s="76"/>
      <c r="S47" s="76"/>
    </row>
    <row r="48" spans="1:21" ht="14.5" customHeight="1" x14ac:dyDescent="0.35">
      <c r="A48" s="273"/>
      <c r="B48" s="273"/>
      <c r="C48" s="273"/>
      <c r="D48" s="273"/>
      <c r="E48" s="273"/>
      <c r="F48" s="273"/>
      <c r="G48" s="273"/>
      <c r="H48" s="272" t="s">
        <v>79</v>
      </c>
      <c r="I48" s="272" t="s">
        <v>80</v>
      </c>
      <c r="J48" s="204" t="s">
        <v>81</v>
      </c>
      <c r="M48" s="76"/>
      <c r="N48" s="76"/>
      <c r="O48" s="78"/>
      <c r="P48" s="78"/>
      <c r="Q48" s="78"/>
      <c r="R48" s="76"/>
      <c r="S48" s="76"/>
    </row>
    <row r="49" spans="1:19" ht="15" thickBot="1" x14ac:dyDescent="0.4">
      <c r="A49" s="274"/>
      <c r="B49" s="274"/>
      <c r="C49" s="274"/>
      <c r="D49" s="274"/>
      <c r="E49" s="274"/>
      <c r="F49" s="274"/>
      <c r="G49" s="274"/>
      <c r="H49" s="274"/>
      <c r="I49" s="274"/>
      <c r="J49" s="202" t="s">
        <v>82</v>
      </c>
      <c r="M49" s="76"/>
      <c r="N49" s="76"/>
      <c r="O49" s="78"/>
      <c r="P49" s="78"/>
      <c r="Q49" s="78"/>
      <c r="R49" s="76"/>
      <c r="S49" s="76"/>
    </row>
    <row r="50" spans="1:19" ht="15" thickBot="1" x14ac:dyDescent="0.4">
      <c r="A50" s="203" t="s">
        <v>55</v>
      </c>
      <c r="B50" s="209" t="s">
        <v>4199</v>
      </c>
      <c r="C50" s="209" t="s">
        <v>4199</v>
      </c>
      <c r="D50" s="220">
        <v>7</v>
      </c>
      <c r="E50" s="219">
        <v>526</v>
      </c>
      <c r="F50" s="209">
        <v>82</v>
      </c>
      <c r="G50" s="219">
        <v>440</v>
      </c>
      <c r="H50" s="209">
        <v>34</v>
      </c>
      <c r="I50" s="209">
        <v>16</v>
      </c>
      <c r="J50" s="209"/>
      <c r="M50" s="76"/>
      <c r="N50" s="76"/>
      <c r="O50" s="78"/>
      <c r="P50" s="78"/>
      <c r="Q50" s="78"/>
      <c r="R50" s="76"/>
      <c r="S50" s="76"/>
    </row>
    <row r="51" spans="1:19" ht="15" thickBot="1" x14ac:dyDescent="0.4">
      <c r="A51" s="200" t="s">
        <v>92</v>
      </c>
      <c r="B51" s="209" t="s">
        <v>4199</v>
      </c>
      <c r="C51" s="209" t="s">
        <v>4199</v>
      </c>
      <c r="D51" s="220">
        <v>237</v>
      </c>
      <c r="E51" s="219">
        <v>13392</v>
      </c>
      <c r="F51" s="219">
        <v>822</v>
      </c>
      <c r="G51" s="219">
        <v>12495</v>
      </c>
      <c r="H51" s="219">
        <v>383</v>
      </c>
      <c r="I51" s="219">
        <v>84</v>
      </c>
      <c r="J51" s="209"/>
      <c r="M51" s="76"/>
      <c r="N51" s="76"/>
      <c r="O51" s="78"/>
      <c r="P51" s="78"/>
      <c r="Q51" s="78"/>
      <c r="R51" s="76"/>
      <c r="S51" s="76"/>
    </row>
    <row r="52" spans="1:19" ht="15" thickBot="1" x14ac:dyDescent="0.4">
      <c r="A52" s="200" t="s">
        <v>324</v>
      </c>
      <c r="B52" s="209" t="s">
        <v>4199</v>
      </c>
      <c r="C52" s="209" t="s">
        <v>4199</v>
      </c>
      <c r="D52" s="218">
        <v>0</v>
      </c>
      <c r="E52" s="209">
        <v>0</v>
      </c>
      <c r="F52" s="209">
        <v>0</v>
      </c>
      <c r="G52" s="209">
        <v>0</v>
      </c>
      <c r="H52" s="209">
        <v>0</v>
      </c>
      <c r="I52" s="209">
        <v>0</v>
      </c>
      <c r="J52" s="209"/>
      <c r="M52" s="76"/>
      <c r="N52" s="76"/>
      <c r="O52" s="78"/>
      <c r="P52" s="78"/>
      <c r="Q52" s="78"/>
      <c r="R52" s="76"/>
      <c r="S52" s="76"/>
    </row>
    <row r="53" spans="1:19" x14ac:dyDescent="0.35">
      <c r="A53" s="199"/>
      <c r="B53" s="199"/>
      <c r="C53" s="199"/>
      <c r="D53" s="199"/>
      <c r="E53" s="199"/>
      <c r="F53" s="199"/>
      <c r="G53" s="199"/>
      <c r="H53" s="199"/>
      <c r="I53" s="199"/>
      <c r="J53" s="199"/>
      <c r="M53" s="76"/>
      <c r="N53" s="76"/>
      <c r="O53" s="78"/>
      <c r="P53" s="78"/>
      <c r="Q53" s="78"/>
      <c r="R53" s="76"/>
      <c r="S53" s="76"/>
    </row>
    <row r="54" spans="1:19" x14ac:dyDescent="0.35">
      <c r="A54" s="275" t="s">
        <v>206</v>
      </c>
      <c r="B54" s="275"/>
      <c r="C54" s="275"/>
      <c r="D54" s="275"/>
      <c r="E54" s="275"/>
      <c r="F54" s="275"/>
      <c r="G54" s="275"/>
      <c r="H54" s="275"/>
      <c r="I54" s="275"/>
      <c r="J54" s="275"/>
      <c r="M54" s="76"/>
      <c r="N54" s="76"/>
      <c r="O54" s="78"/>
      <c r="P54" s="78"/>
      <c r="Q54" s="78"/>
      <c r="R54" s="76"/>
      <c r="S54" s="76"/>
    </row>
    <row r="55" spans="1:19" ht="39" customHeight="1" x14ac:dyDescent="0.35">
      <c r="A55" s="199"/>
      <c r="B55" s="199"/>
      <c r="C55" s="199"/>
      <c r="D55" s="199"/>
      <c r="E55" s="199"/>
      <c r="F55" s="199"/>
      <c r="G55" s="199"/>
      <c r="H55" s="199"/>
      <c r="I55" s="199"/>
      <c r="J55" s="199"/>
      <c r="M55" s="76"/>
      <c r="N55" s="76"/>
      <c r="O55" s="78"/>
      <c r="P55" s="78"/>
      <c r="Q55" s="78"/>
      <c r="R55" s="76"/>
      <c r="S55" s="76"/>
    </row>
    <row r="56" spans="1:19" x14ac:dyDescent="0.35">
      <c r="A56" s="199"/>
      <c r="B56" s="199"/>
      <c r="C56" s="199"/>
      <c r="D56" s="199"/>
      <c r="E56" s="199"/>
      <c r="F56" s="199"/>
      <c r="G56" s="199"/>
      <c r="H56" s="199"/>
      <c r="I56" s="199"/>
      <c r="J56" s="199"/>
      <c r="M56" s="76"/>
      <c r="N56" s="76"/>
      <c r="O56" s="76"/>
      <c r="P56" s="78"/>
      <c r="Q56" s="76"/>
      <c r="R56" s="76"/>
      <c r="S56" s="76"/>
    </row>
    <row r="57" spans="1:19" x14ac:dyDescent="0.35">
      <c r="A57" s="199"/>
      <c r="B57" s="199"/>
      <c r="C57" s="199"/>
      <c r="D57" s="199"/>
      <c r="E57" s="199"/>
      <c r="F57" s="199"/>
      <c r="G57" s="199"/>
      <c r="H57" s="199"/>
      <c r="I57" s="199"/>
      <c r="J57" s="199"/>
      <c r="M57" s="76"/>
      <c r="N57" s="76"/>
      <c r="O57" s="76"/>
      <c r="P57" s="78"/>
      <c r="Q57" s="76"/>
      <c r="R57" s="76"/>
      <c r="S57" s="76"/>
    </row>
    <row r="58" spans="1:19" x14ac:dyDescent="0.35">
      <c r="A58" s="199"/>
      <c r="B58" s="199"/>
      <c r="C58" s="199"/>
      <c r="D58" s="199"/>
      <c r="E58" s="199"/>
      <c r="F58" s="199"/>
      <c r="G58" s="199"/>
      <c r="H58" s="199"/>
      <c r="I58" s="199"/>
      <c r="J58" s="199"/>
      <c r="M58" s="76"/>
      <c r="N58" s="76"/>
      <c r="O58" s="76"/>
      <c r="P58" s="76"/>
      <c r="Q58" s="76"/>
      <c r="R58" s="76"/>
      <c r="S58" s="76"/>
    </row>
    <row r="59" spans="1:19" x14ac:dyDescent="0.35">
      <c r="A59" s="199"/>
      <c r="B59" s="199"/>
      <c r="C59" s="199"/>
      <c r="D59" s="199"/>
      <c r="E59" s="199"/>
      <c r="F59" s="199"/>
      <c r="G59" s="199"/>
      <c r="H59" s="199"/>
      <c r="I59" s="199"/>
      <c r="J59" s="199"/>
      <c r="M59" s="76"/>
      <c r="N59" s="76"/>
      <c r="O59" s="76"/>
      <c r="P59" s="76"/>
      <c r="Q59" s="76"/>
      <c r="R59" s="76"/>
      <c r="S59" s="76"/>
    </row>
  </sheetData>
  <mergeCells count="51">
    <mergeCell ref="A46:A49"/>
    <mergeCell ref="B46:B49"/>
    <mergeCell ref="C46:C49"/>
    <mergeCell ref="D46:D49"/>
    <mergeCell ref="A11:J11"/>
    <mergeCell ref="A4:J4"/>
    <mergeCell ref="A5:A8"/>
    <mergeCell ref="B31:B34"/>
    <mergeCell ref="C31:C34"/>
    <mergeCell ref="D31:D34"/>
    <mergeCell ref="E31:J31"/>
    <mergeCell ref="E32:E34"/>
    <mergeCell ref="F32:F34"/>
    <mergeCell ref="A27:J27"/>
    <mergeCell ref="A54:J54"/>
    <mergeCell ref="H17:J17"/>
    <mergeCell ref="E16:J16"/>
    <mergeCell ref="A15:J15"/>
    <mergeCell ref="G17:G19"/>
    <mergeCell ref="H18:H19"/>
    <mergeCell ref="I18:I19"/>
    <mergeCell ref="A16:A19"/>
    <mergeCell ref="B16:B19"/>
    <mergeCell ref="C16:C19"/>
    <mergeCell ref="D16:D19"/>
    <mergeCell ref="E17:E19"/>
    <mergeCell ref="F17:F19"/>
    <mergeCell ref="A30:J30"/>
    <mergeCell ref="A31:A34"/>
    <mergeCell ref="B5:B8"/>
    <mergeCell ref="C5:C8"/>
    <mergeCell ref="D5:D8"/>
    <mergeCell ref="E5:J5"/>
    <mergeCell ref="E6:E8"/>
    <mergeCell ref="F6:F8"/>
    <mergeCell ref="G6:G8"/>
    <mergeCell ref="H6:J6"/>
    <mergeCell ref="H7:H8"/>
    <mergeCell ref="I7:I8"/>
    <mergeCell ref="G32:G34"/>
    <mergeCell ref="H32:J32"/>
    <mergeCell ref="H33:H34"/>
    <mergeCell ref="I33:I34"/>
    <mergeCell ref="A45:J45"/>
    <mergeCell ref="E46:J46"/>
    <mergeCell ref="E47:E49"/>
    <mergeCell ref="F47:F49"/>
    <mergeCell ref="G47:G49"/>
    <mergeCell ref="H47:J47"/>
    <mergeCell ref="H48:H49"/>
    <mergeCell ref="I48:I49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31"/>
  <sheetViews>
    <sheetView topLeftCell="A7" zoomScale="130" zoomScaleNormal="130" workbookViewId="0">
      <selection activeCell="G11" sqref="G11"/>
    </sheetView>
  </sheetViews>
  <sheetFormatPr defaultRowHeight="14.5" x14ac:dyDescent="0.35"/>
  <cols>
    <col min="1" max="1" width="46.7265625" bestFit="1" customWidth="1"/>
    <col min="2" max="2" width="10.453125" bestFit="1" customWidth="1"/>
    <col min="3" max="3" width="12.81640625" bestFit="1" customWidth="1"/>
    <col min="4" max="4" width="14.26953125" bestFit="1" customWidth="1"/>
    <col min="5" max="5" width="12.453125" bestFit="1" customWidth="1"/>
    <col min="6" max="6" width="14" customWidth="1"/>
    <col min="7" max="7" width="15.1796875" customWidth="1"/>
  </cols>
  <sheetData>
    <row r="1" spans="1:7" x14ac:dyDescent="0.35">
      <c r="A1" s="35" t="s">
        <v>93</v>
      </c>
      <c r="B1" s="37"/>
      <c r="C1" s="37"/>
    </row>
    <row r="3" spans="1:7" ht="15" thickBot="1" x14ac:dyDescent="0.4">
      <c r="A3" s="9" t="s">
        <v>173</v>
      </c>
    </row>
    <row r="4" spans="1:7" ht="62.5" thickBot="1" x14ac:dyDescent="0.4">
      <c r="A4" s="24" t="s">
        <v>2</v>
      </c>
      <c r="B4" s="24" t="s">
        <v>183</v>
      </c>
      <c r="C4" s="24" t="s">
        <v>182</v>
      </c>
      <c r="D4" s="66" t="s">
        <v>191</v>
      </c>
      <c r="E4" s="66" t="s">
        <v>192</v>
      </c>
      <c r="F4" s="66" t="s">
        <v>193</v>
      </c>
      <c r="G4" s="66" t="s">
        <v>194</v>
      </c>
    </row>
    <row r="5" spans="1:7" ht="15" thickBot="1" x14ac:dyDescent="0.4">
      <c r="A5" s="67" t="s">
        <v>184</v>
      </c>
      <c r="B5" s="65">
        <v>324</v>
      </c>
      <c r="C5" s="65">
        <v>0</v>
      </c>
      <c r="D5" s="48">
        <v>591</v>
      </c>
      <c r="E5" s="48">
        <v>438</v>
      </c>
      <c r="F5" s="48">
        <v>540</v>
      </c>
      <c r="G5" s="48">
        <v>163</v>
      </c>
    </row>
    <row r="6" spans="1:7" ht="15" thickBot="1" x14ac:dyDescent="0.4">
      <c r="A6" s="68" t="s">
        <v>185</v>
      </c>
      <c r="B6" s="65">
        <v>1</v>
      </c>
      <c r="C6" s="65">
        <v>0</v>
      </c>
      <c r="D6" s="48">
        <v>100</v>
      </c>
      <c r="E6" s="48">
        <v>23</v>
      </c>
      <c r="F6" s="48">
        <v>29</v>
      </c>
      <c r="G6" s="48" t="s">
        <v>4198</v>
      </c>
    </row>
    <row r="7" spans="1:7" ht="15" thickBot="1" x14ac:dyDescent="0.4">
      <c r="A7" s="68" t="s">
        <v>186</v>
      </c>
      <c r="B7" s="65">
        <v>467</v>
      </c>
      <c r="C7" s="65">
        <v>105</v>
      </c>
      <c r="D7" s="48">
        <v>2272</v>
      </c>
      <c r="E7" s="48">
        <v>1192</v>
      </c>
      <c r="F7" s="48">
        <v>582</v>
      </c>
      <c r="G7" s="48">
        <v>74</v>
      </c>
    </row>
    <row r="8" spans="1:7" ht="15" thickBot="1" x14ac:dyDescent="0.4">
      <c r="A8" s="67" t="s">
        <v>187</v>
      </c>
      <c r="B8" s="65">
        <v>121</v>
      </c>
      <c r="C8" s="65">
        <v>21</v>
      </c>
      <c r="D8" s="48">
        <v>494</v>
      </c>
      <c r="E8" s="48"/>
      <c r="F8" s="48">
        <v>108</v>
      </c>
      <c r="G8" s="105">
        <v>74</v>
      </c>
    </row>
    <row r="9" spans="1:7" ht="15" thickBot="1" x14ac:dyDescent="0.4">
      <c r="A9" s="67" t="s">
        <v>195</v>
      </c>
      <c r="B9" s="65"/>
      <c r="C9" s="65"/>
      <c r="D9" s="48"/>
      <c r="E9" s="48"/>
      <c r="F9" s="48">
        <v>10</v>
      </c>
      <c r="G9" s="106">
        <v>170</v>
      </c>
    </row>
    <row r="10" spans="1:7" ht="15" thickBot="1" x14ac:dyDescent="0.4">
      <c r="A10" s="67" t="s">
        <v>168</v>
      </c>
      <c r="B10" s="65">
        <v>38</v>
      </c>
      <c r="C10" s="65">
        <v>5</v>
      </c>
      <c r="D10" s="48">
        <v>207</v>
      </c>
      <c r="E10" s="48">
        <v>120</v>
      </c>
      <c r="F10" s="48">
        <v>212</v>
      </c>
      <c r="G10" s="107">
        <v>131</v>
      </c>
    </row>
    <row r="11" spans="1:7" ht="15" thickBot="1" x14ac:dyDescent="0.4">
      <c r="A11" s="67" t="s">
        <v>196</v>
      </c>
      <c r="B11" s="65">
        <v>53</v>
      </c>
      <c r="C11" s="65">
        <v>4</v>
      </c>
      <c r="D11" s="48">
        <v>383</v>
      </c>
      <c r="E11" s="48">
        <v>300</v>
      </c>
      <c r="F11" s="48">
        <v>29</v>
      </c>
      <c r="G11" s="48"/>
    </row>
    <row r="12" spans="1:7" ht="15" thickBot="1" x14ac:dyDescent="0.4">
      <c r="A12" s="67" t="s">
        <v>197</v>
      </c>
      <c r="B12" s="65">
        <v>38</v>
      </c>
      <c r="C12" s="65">
        <v>23</v>
      </c>
      <c r="D12" s="48"/>
      <c r="E12" s="48"/>
      <c r="F12" s="48">
        <v>271</v>
      </c>
      <c r="G12" s="48"/>
    </row>
    <row r="13" spans="1:7" ht="15" thickBot="1" x14ac:dyDescent="0.4">
      <c r="A13" s="67" t="s">
        <v>190</v>
      </c>
      <c r="B13" s="65">
        <v>9</v>
      </c>
      <c r="C13" s="65">
        <v>23</v>
      </c>
      <c r="D13" s="48"/>
      <c r="E13" s="48"/>
      <c r="F13" s="48">
        <v>118</v>
      </c>
      <c r="G13" s="48"/>
    </row>
    <row r="14" spans="1:7" ht="15" thickBot="1" x14ac:dyDescent="0.4">
      <c r="A14" s="67" t="s">
        <v>189</v>
      </c>
      <c r="B14" s="65">
        <v>105</v>
      </c>
      <c r="C14" s="65">
        <v>4</v>
      </c>
      <c r="D14" s="48"/>
      <c r="E14" s="48"/>
      <c r="F14" s="48">
        <v>134</v>
      </c>
      <c r="G14" s="48"/>
    </row>
    <row r="15" spans="1:7" ht="15" thickBot="1" x14ac:dyDescent="0.4">
      <c r="A15" s="67" t="s">
        <v>188</v>
      </c>
      <c r="B15" s="65">
        <v>4</v>
      </c>
      <c r="C15" s="65">
        <v>0</v>
      </c>
      <c r="D15" s="52">
        <v>25</v>
      </c>
      <c r="E15" s="104"/>
      <c r="F15" s="48">
        <v>10</v>
      </c>
      <c r="G15" s="48"/>
    </row>
    <row r="16" spans="1:7" s="94" customFormat="1" ht="15" thickBot="1" x14ac:dyDescent="0.4">
      <c r="A16" s="67" t="s">
        <v>207</v>
      </c>
      <c r="B16" s="104"/>
      <c r="C16" s="104"/>
      <c r="D16" s="104"/>
      <c r="E16" s="104"/>
      <c r="F16" s="104">
        <v>477</v>
      </c>
      <c r="G16" s="48"/>
    </row>
    <row r="17" spans="1:4" x14ac:dyDescent="0.35">
      <c r="A17" s="12" t="s">
        <v>322</v>
      </c>
      <c r="D17" s="41"/>
    </row>
    <row r="20" spans="1:4" ht="15" thickBot="1" x14ac:dyDescent="0.4">
      <c r="A20" s="9" t="s">
        <v>173</v>
      </c>
    </row>
    <row r="21" spans="1:4" ht="16" thickBot="1" x14ac:dyDescent="0.4">
      <c r="A21" s="24" t="s">
        <v>94</v>
      </c>
      <c r="B21" s="25" t="s">
        <v>183</v>
      </c>
      <c r="C21" s="25" t="s">
        <v>182</v>
      </c>
    </row>
    <row r="22" spans="1:4" ht="15" thickBot="1" x14ac:dyDescent="0.4">
      <c r="A22" s="7" t="s">
        <v>50</v>
      </c>
      <c r="B22" s="103">
        <v>299</v>
      </c>
      <c r="C22" s="103">
        <v>60</v>
      </c>
    </row>
    <row r="23" spans="1:4" ht="15" thickBot="1" x14ac:dyDescent="0.4">
      <c r="A23" s="7" t="s">
        <v>95</v>
      </c>
      <c r="B23" s="103">
        <v>457</v>
      </c>
      <c r="C23" s="103">
        <v>42</v>
      </c>
    </row>
    <row r="24" spans="1:4" ht="15" thickBot="1" x14ac:dyDescent="0.4">
      <c r="A24" s="7" t="s">
        <v>52</v>
      </c>
      <c r="B24" s="103">
        <v>13</v>
      </c>
      <c r="C24" s="103">
        <v>0</v>
      </c>
    </row>
    <row r="25" spans="1:4" ht="15" thickBot="1" x14ac:dyDescent="0.4">
      <c r="A25" s="7" t="s">
        <v>96</v>
      </c>
      <c r="B25" s="103">
        <v>1</v>
      </c>
      <c r="C25" s="103">
        <v>0</v>
      </c>
    </row>
    <row r="26" spans="1:4" ht="15" thickBot="1" x14ac:dyDescent="0.4">
      <c r="A26" s="7" t="s">
        <v>54</v>
      </c>
      <c r="B26" s="103">
        <v>3</v>
      </c>
      <c r="C26" s="103">
        <v>0</v>
      </c>
    </row>
    <row r="27" spans="1:4" s="197" customFormat="1" ht="15" thickBot="1" x14ac:dyDescent="0.4">
      <c r="A27" s="7" t="s">
        <v>4196</v>
      </c>
      <c r="B27" s="103">
        <v>19</v>
      </c>
      <c r="C27" s="103">
        <v>3</v>
      </c>
    </row>
    <row r="28" spans="1:4" ht="16" thickBot="1" x14ac:dyDescent="0.4">
      <c r="A28" s="26" t="s">
        <v>97</v>
      </c>
      <c r="B28" s="27" t="s">
        <v>183</v>
      </c>
      <c r="C28" s="27" t="s">
        <v>182</v>
      </c>
    </row>
    <row r="29" spans="1:4" ht="15" thickBot="1" x14ac:dyDescent="0.4">
      <c r="A29" s="7" t="s">
        <v>321</v>
      </c>
      <c r="B29" s="103">
        <v>107</v>
      </c>
      <c r="C29" s="103">
        <v>14</v>
      </c>
    </row>
    <row r="30" spans="1:4" ht="15" thickBot="1" x14ac:dyDescent="0.4">
      <c r="A30" s="23" t="s">
        <v>92</v>
      </c>
      <c r="B30" s="103">
        <f>776-91</f>
        <v>685</v>
      </c>
      <c r="C30" s="103">
        <v>91</v>
      </c>
    </row>
    <row r="31" spans="1:4" x14ac:dyDescent="0.35">
      <c r="A31" s="12" t="s">
        <v>322</v>
      </c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C23"/>
  <sheetViews>
    <sheetView topLeftCell="A16" workbookViewId="0"/>
  </sheetViews>
  <sheetFormatPr defaultRowHeight="14.5" x14ac:dyDescent="0.35"/>
  <cols>
    <col min="1" max="1" width="46.1796875" customWidth="1"/>
  </cols>
  <sheetData>
    <row r="1" spans="1:3" x14ac:dyDescent="0.35">
      <c r="A1" s="141" t="s">
        <v>213</v>
      </c>
      <c r="B1" s="142"/>
      <c r="C1" s="142"/>
    </row>
    <row r="3" spans="1:3" ht="15" thickBot="1" x14ac:dyDescent="0.4">
      <c r="A3" s="9" t="s">
        <v>221</v>
      </c>
    </row>
    <row r="4" spans="1:3" ht="15" thickBot="1" x14ac:dyDescent="0.4">
      <c r="A4" s="143" t="s">
        <v>214</v>
      </c>
      <c r="B4" s="154"/>
    </row>
    <row r="5" spans="1:3" ht="15" thickBot="1" x14ac:dyDescent="0.4">
      <c r="A5" s="156" t="s">
        <v>313</v>
      </c>
      <c r="B5" s="157"/>
    </row>
    <row r="6" spans="1:3" ht="15" thickBot="1" x14ac:dyDescent="0.4">
      <c r="A6" s="156" t="s">
        <v>314</v>
      </c>
      <c r="B6" s="158"/>
    </row>
    <row r="7" spans="1:3" ht="15" thickBot="1" x14ac:dyDescent="0.4">
      <c r="A7" s="144" t="s">
        <v>215</v>
      </c>
      <c r="B7" s="155"/>
    </row>
    <row r="8" spans="1:3" ht="15" thickBot="1" x14ac:dyDescent="0.4">
      <c r="A8" s="156" t="s">
        <v>315</v>
      </c>
      <c r="B8" s="155"/>
    </row>
    <row r="9" spans="1:3" ht="15" thickBot="1" x14ac:dyDescent="0.4">
      <c r="A9" s="156" t="s">
        <v>316</v>
      </c>
      <c r="B9" s="155"/>
    </row>
    <row r="10" spans="1:3" ht="15" thickBot="1" x14ac:dyDescent="0.4">
      <c r="A10" s="144" t="s">
        <v>216</v>
      </c>
      <c r="B10" s="155"/>
    </row>
    <row r="11" spans="1:3" ht="15" thickBot="1" x14ac:dyDescent="0.4">
      <c r="A11" s="144" t="s">
        <v>217</v>
      </c>
      <c r="B11" s="155"/>
    </row>
    <row r="12" spans="1:3" ht="15" thickBot="1" x14ac:dyDescent="0.4">
      <c r="A12" s="143" t="s">
        <v>218</v>
      </c>
      <c r="B12" s="147"/>
    </row>
    <row r="13" spans="1:3" ht="15" thickBot="1" x14ac:dyDescent="0.4">
      <c r="A13" s="156" t="s">
        <v>317</v>
      </c>
      <c r="B13" s="159"/>
    </row>
    <row r="14" spans="1:3" ht="15" thickBot="1" x14ac:dyDescent="0.4">
      <c r="A14" s="144" t="s">
        <v>219</v>
      </c>
      <c r="B14" s="155"/>
    </row>
    <row r="15" spans="1:3" ht="15" thickBot="1" x14ac:dyDescent="0.4">
      <c r="A15" s="144" t="s">
        <v>220</v>
      </c>
      <c r="B15" s="155"/>
    </row>
    <row r="16" spans="1:3" ht="58" x14ac:dyDescent="0.35">
      <c r="A16" s="145" t="s">
        <v>318</v>
      </c>
    </row>
    <row r="18" spans="1:2" ht="15" thickBot="1" x14ac:dyDescent="0.4">
      <c r="A18" s="9" t="s">
        <v>227</v>
      </c>
    </row>
    <row r="19" spans="1:2" ht="58.5" thickBot="1" x14ac:dyDescent="0.4">
      <c r="A19" s="21" t="s">
        <v>222</v>
      </c>
      <c r="B19" s="140" t="s">
        <v>223</v>
      </c>
    </row>
    <row r="20" spans="1:2" ht="15" thickBot="1" x14ac:dyDescent="0.4">
      <c r="A20" s="2" t="s">
        <v>224</v>
      </c>
      <c r="B20" s="146"/>
    </row>
    <row r="21" spans="1:2" ht="15" thickBot="1" x14ac:dyDescent="0.4">
      <c r="A21" s="2" t="s">
        <v>225</v>
      </c>
      <c r="B21" s="146"/>
    </row>
    <row r="22" spans="1:2" ht="29.5" thickBot="1" x14ac:dyDescent="0.4">
      <c r="A22" s="2" t="s">
        <v>226</v>
      </c>
      <c r="B22" s="146"/>
    </row>
    <row r="23" spans="1:2" ht="101.5" x14ac:dyDescent="0.35">
      <c r="A23" s="17" t="s">
        <v>319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83"/>
  <sheetViews>
    <sheetView workbookViewId="0">
      <selection activeCell="A2" sqref="A2"/>
    </sheetView>
  </sheetViews>
  <sheetFormatPr defaultColWidth="9.1796875" defaultRowHeight="14.5" x14ac:dyDescent="0.35"/>
  <cols>
    <col min="1" max="1" width="2.7265625" style="195" customWidth="1"/>
    <col min="2" max="2" width="3.81640625" style="195" customWidth="1"/>
    <col min="3" max="3" width="13.7265625" style="195" bestFit="1" customWidth="1"/>
    <col min="4" max="4" width="9.1796875" style="195"/>
    <col min="5" max="5" width="12.54296875" style="195" bestFit="1" customWidth="1"/>
    <col min="6" max="10" width="31" style="71" customWidth="1"/>
    <col min="11" max="16384" width="9.1796875" style="195"/>
  </cols>
  <sheetData>
    <row r="1" spans="1:10" x14ac:dyDescent="0.35">
      <c r="A1" s="195" t="s">
        <v>351</v>
      </c>
      <c r="B1" s="195" t="s">
        <v>352</v>
      </c>
      <c r="C1" s="195" t="s">
        <v>354</v>
      </c>
      <c r="D1" s="195" t="s">
        <v>353</v>
      </c>
      <c r="E1" s="195" t="s">
        <v>355</v>
      </c>
      <c r="F1" s="71" t="s">
        <v>356</v>
      </c>
      <c r="G1" s="71" t="s">
        <v>357</v>
      </c>
      <c r="H1" s="71" t="s">
        <v>358</v>
      </c>
      <c r="I1" s="71" t="s">
        <v>356</v>
      </c>
      <c r="J1" s="71" t="s">
        <v>359</v>
      </c>
    </row>
    <row r="2" spans="1:10" ht="29" x14ac:dyDescent="0.35">
      <c r="A2" s="195">
        <v>1</v>
      </c>
      <c r="B2" s="195">
        <v>1</v>
      </c>
      <c r="C2" s="195" t="s">
        <v>360</v>
      </c>
      <c r="D2" s="64">
        <v>1951605</v>
      </c>
      <c r="E2" s="195" t="s">
        <v>26</v>
      </c>
      <c r="F2" s="71" t="s">
        <v>361</v>
      </c>
      <c r="G2" s="71" t="s">
        <v>362</v>
      </c>
      <c r="H2" s="71" t="s">
        <v>363</v>
      </c>
      <c r="I2" s="71" t="s">
        <v>364</v>
      </c>
    </row>
    <row r="3" spans="1:10" x14ac:dyDescent="0.35">
      <c r="A3" s="195">
        <v>1</v>
      </c>
      <c r="B3" s="195">
        <v>2</v>
      </c>
      <c r="C3" s="195" t="s">
        <v>365</v>
      </c>
      <c r="D3" s="64">
        <v>1105170</v>
      </c>
      <c r="E3" s="195" t="s">
        <v>366</v>
      </c>
      <c r="F3" s="71" t="s">
        <v>367</v>
      </c>
      <c r="G3" s="71" t="s">
        <v>362</v>
      </c>
      <c r="H3" s="71" t="s">
        <v>363</v>
      </c>
      <c r="I3" s="71" t="s">
        <v>364</v>
      </c>
    </row>
    <row r="4" spans="1:10" ht="87" x14ac:dyDescent="0.35">
      <c r="A4" s="195">
        <v>1</v>
      </c>
      <c r="B4" s="195">
        <v>3</v>
      </c>
      <c r="C4" s="195" t="s">
        <v>368</v>
      </c>
      <c r="D4" s="64">
        <v>362505</v>
      </c>
      <c r="E4" s="195" t="s">
        <v>366</v>
      </c>
      <c r="F4" s="71" t="s">
        <v>367</v>
      </c>
      <c r="G4" s="71" t="s">
        <v>369</v>
      </c>
      <c r="H4" s="71" t="s">
        <v>363</v>
      </c>
      <c r="I4" s="71" t="s">
        <v>364</v>
      </c>
    </row>
    <row r="5" spans="1:10" ht="87" x14ac:dyDescent="0.35">
      <c r="A5" s="195">
        <v>1</v>
      </c>
      <c r="B5" s="195">
        <v>4</v>
      </c>
      <c r="C5" s="195" t="s">
        <v>370</v>
      </c>
      <c r="D5" s="64">
        <v>84950</v>
      </c>
      <c r="E5" s="195" t="s">
        <v>366</v>
      </c>
      <c r="F5" s="71" t="s">
        <v>367</v>
      </c>
      <c r="G5" s="71" t="s">
        <v>369</v>
      </c>
      <c r="H5" s="71" t="s">
        <v>371</v>
      </c>
      <c r="I5" s="71" t="s">
        <v>364</v>
      </c>
    </row>
    <row r="6" spans="1:10" ht="87" x14ac:dyDescent="0.35">
      <c r="A6" s="195">
        <v>1</v>
      </c>
      <c r="B6" s="195">
        <v>5</v>
      </c>
      <c r="C6" s="195" t="s">
        <v>372</v>
      </c>
      <c r="D6" s="64">
        <v>43815</v>
      </c>
      <c r="E6" s="195" t="s">
        <v>373</v>
      </c>
      <c r="F6" s="71" t="s">
        <v>367</v>
      </c>
      <c r="G6" s="71" t="s">
        <v>369</v>
      </c>
      <c r="H6" s="71" t="s">
        <v>371</v>
      </c>
      <c r="I6" s="71" t="s">
        <v>374</v>
      </c>
    </row>
    <row r="7" spans="1:10" ht="87" x14ac:dyDescent="0.35">
      <c r="A7" s="195">
        <v>1</v>
      </c>
      <c r="B7" s="195">
        <v>6</v>
      </c>
      <c r="C7" s="195" t="s">
        <v>375</v>
      </c>
      <c r="D7" s="64">
        <v>22120</v>
      </c>
      <c r="E7" s="195" t="s">
        <v>373</v>
      </c>
      <c r="F7" s="71" t="s">
        <v>367</v>
      </c>
      <c r="G7" s="71" t="s">
        <v>369</v>
      </c>
      <c r="H7" s="71" t="s">
        <v>371</v>
      </c>
      <c r="I7" s="71" t="s">
        <v>376</v>
      </c>
    </row>
    <row r="8" spans="1:10" ht="87" x14ac:dyDescent="0.35">
      <c r="A8" s="195">
        <v>1</v>
      </c>
      <c r="B8" s="195">
        <v>7</v>
      </c>
      <c r="C8" s="195" t="s">
        <v>377</v>
      </c>
      <c r="D8" s="64">
        <v>4370</v>
      </c>
      <c r="E8" s="195" t="s">
        <v>373</v>
      </c>
      <c r="F8" s="71" t="s">
        <v>367</v>
      </c>
      <c r="G8" s="71" t="s">
        <v>369</v>
      </c>
      <c r="H8" s="71" t="s">
        <v>371</v>
      </c>
      <c r="I8" s="71" t="s">
        <v>378</v>
      </c>
    </row>
    <row r="9" spans="1:10" ht="87" x14ac:dyDescent="0.35">
      <c r="A9" s="195">
        <v>1</v>
      </c>
      <c r="B9" s="195">
        <v>8</v>
      </c>
      <c r="C9" s="195" t="s">
        <v>379</v>
      </c>
      <c r="D9" s="195">
        <v>185</v>
      </c>
      <c r="E9" s="195" t="s">
        <v>373</v>
      </c>
      <c r="F9" s="71" t="s">
        <v>367</v>
      </c>
      <c r="G9" s="71" t="s">
        <v>369</v>
      </c>
      <c r="H9" s="71" t="s">
        <v>371</v>
      </c>
      <c r="I9" s="71" t="s">
        <v>380</v>
      </c>
    </row>
    <row r="10" spans="1:10" ht="87" x14ac:dyDescent="0.35">
      <c r="A10" s="195">
        <v>1</v>
      </c>
      <c r="B10" s="195">
        <v>9</v>
      </c>
      <c r="C10" s="195" t="s">
        <v>381</v>
      </c>
      <c r="D10" s="195">
        <v>0</v>
      </c>
      <c r="E10" s="195" t="s">
        <v>373</v>
      </c>
      <c r="F10" s="71" t="s">
        <v>367</v>
      </c>
      <c r="G10" s="71" t="s">
        <v>369</v>
      </c>
      <c r="H10" s="71" t="s">
        <v>371</v>
      </c>
      <c r="I10" s="71" t="s">
        <v>382</v>
      </c>
    </row>
    <row r="11" spans="1:10" ht="87" x14ac:dyDescent="0.35">
      <c r="A11" s="195">
        <v>1</v>
      </c>
      <c r="B11" s="195">
        <v>10</v>
      </c>
      <c r="C11" s="195" t="s">
        <v>383</v>
      </c>
      <c r="D11" s="64">
        <v>13755</v>
      </c>
      <c r="E11" s="195" t="s">
        <v>373</v>
      </c>
      <c r="F11" s="71" t="s">
        <v>367</v>
      </c>
      <c r="G11" s="71" t="s">
        <v>369</v>
      </c>
      <c r="H11" s="71" t="s">
        <v>371</v>
      </c>
      <c r="I11" s="71" t="s">
        <v>384</v>
      </c>
    </row>
    <row r="12" spans="1:10" ht="87" x14ac:dyDescent="0.35">
      <c r="A12" s="195">
        <v>1</v>
      </c>
      <c r="B12" s="195">
        <v>11</v>
      </c>
      <c r="C12" s="195" t="s">
        <v>385</v>
      </c>
      <c r="D12" s="195">
        <v>705</v>
      </c>
      <c r="E12" s="195" t="s">
        <v>373</v>
      </c>
      <c r="F12" s="71" t="s">
        <v>367</v>
      </c>
      <c r="G12" s="71" t="s">
        <v>369</v>
      </c>
      <c r="H12" s="71" t="s">
        <v>371</v>
      </c>
      <c r="I12" s="71" t="s">
        <v>386</v>
      </c>
    </row>
    <row r="13" spans="1:10" ht="87" x14ac:dyDescent="0.35">
      <c r="A13" s="195">
        <v>1</v>
      </c>
      <c r="B13" s="195">
        <v>12</v>
      </c>
      <c r="C13" s="195" t="s">
        <v>387</v>
      </c>
      <c r="D13" s="64">
        <v>82445</v>
      </c>
      <c r="E13" s="195" t="s">
        <v>366</v>
      </c>
      <c r="F13" s="71" t="s">
        <v>367</v>
      </c>
      <c r="G13" s="71" t="s">
        <v>369</v>
      </c>
      <c r="H13" s="71" t="s">
        <v>388</v>
      </c>
      <c r="I13" s="71" t="s">
        <v>364</v>
      </c>
    </row>
    <row r="14" spans="1:10" ht="87" x14ac:dyDescent="0.35">
      <c r="A14" s="195">
        <v>1</v>
      </c>
      <c r="B14" s="195">
        <v>13</v>
      </c>
      <c r="C14" s="195" t="s">
        <v>389</v>
      </c>
      <c r="D14" s="64">
        <v>41075</v>
      </c>
      <c r="E14" s="195" t="s">
        <v>373</v>
      </c>
      <c r="F14" s="71" t="s">
        <v>367</v>
      </c>
      <c r="G14" s="71" t="s">
        <v>369</v>
      </c>
      <c r="H14" s="71" t="s">
        <v>388</v>
      </c>
      <c r="I14" s="71" t="s">
        <v>374</v>
      </c>
    </row>
    <row r="15" spans="1:10" ht="87" x14ac:dyDescent="0.35">
      <c r="A15" s="195">
        <v>1</v>
      </c>
      <c r="B15" s="195">
        <v>14</v>
      </c>
      <c r="C15" s="195" t="s">
        <v>390</v>
      </c>
      <c r="D15" s="64">
        <v>16835</v>
      </c>
      <c r="E15" s="195" t="s">
        <v>373</v>
      </c>
      <c r="F15" s="71" t="s">
        <v>367</v>
      </c>
      <c r="G15" s="71" t="s">
        <v>369</v>
      </c>
      <c r="H15" s="71" t="s">
        <v>388</v>
      </c>
      <c r="I15" s="71" t="s">
        <v>376</v>
      </c>
    </row>
    <row r="16" spans="1:10" ht="87" x14ac:dyDescent="0.35">
      <c r="A16" s="195">
        <v>1</v>
      </c>
      <c r="B16" s="195">
        <v>15</v>
      </c>
      <c r="C16" s="195" t="s">
        <v>391</v>
      </c>
      <c r="D16" s="64">
        <v>4290</v>
      </c>
      <c r="E16" s="195" t="s">
        <v>373</v>
      </c>
      <c r="F16" s="71" t="s">
        <v>367</v>
      </c>
      <c r="G16" s="71" t="s">
        <v>369</v>
      </c>
      <c r="H16" s="71" t="s">
        <v>388</v>
      </c>
      <c r="I16" s="71" t="s">
        <v>378</v>
      </c>
    </row>
    <row r="17" spans="1:9" ht="87" x14ac:dyDescent="0.35">
      <c r="A17" s="195">
        <v>1</v>
      </c>
      <c r="B17" s="195">
        <v>16</v>
      </c>
      <c r="C17" s="195" t="s">
        <v>392</v>
      </c>
      <c r="D17" s="195">
        <v>45</v>
      </c>
      <c r="E17" s="195" t="s">
        <v>373</v>
      </c>
      <c r="F17" s="71" t="s">
        <v>367</v>
      </c>
      <c r="G17" s="71" t="s">
        <v>369</v>
      </c>
      <c r="H17" s="71" t="s">
        <v>388</v>
      </c>
      <c r="I17" s="71" t="s">
        <v>380</v>
      </c>
    </row>
    <row r="18" spans="1:9" ht="87" x14ac:dyDescent="0.35">
      <c r="A18" s="195">
        <v>1</v>
      </c>
      <c r="B18" s="195">
        <v>17</v>
      </c>
      <c r="C18" s="195" t="s">
        <v>393</v>
      </c>
      <c r="D18" s="195">
        <v>10</v>
      </c>
      <c r="E18" s="195" t="s">
        <v>373</v>
      </c>
      <c r="F18" s="71" t="s">
        <v>367</v>
      </c>
      <c r="G18" s="71" t="s">
        <v>369</v>
      </c>
      <c r="H18" s="71" t="s">
        <v>388</v>
      </c>
      <c r="I18" s="71" t="s">
        <v>382</v>
      </c>
    </row>
    <row r="19" spans="1:9" ht="87" x14ac:dyDescent="0.35">
      <c r="A19" s="195">
        <v>1</v>
      </c>
      <c r="B19" s="195">
        <v>18</v>
      </c>
      <c r="C19" s="195" t="s">
        <v>394</v>
      </c>
      <c r="D19" s="64">
        <v>19650</v>
      </c>
      <c r="E19" s="195" t="s">
        <v>373</v>
      </c>
      <c r="F19" s="71" t="s">
        <v>367</v>
      </c>
      <c r="G19" s="71" t="s">
        <v>369</v>
      </c>
      <c r="H19" s="71" t="s">
        <v>388</v>
      </c>
      <c r="I19" s="71" t="s">
        <v>384</v>
      </c>
    </row>
    <row r="20" spans="1:9" ht="87" x14ac:dyDescent="0.35">
      <c r="A20" s="195">
        <v>1</v>
      </c>
      <c r="B20" s="195">
        <v>19</v>
      </c>
      <c r="C20" s="195" t="s">
        <v>395</v>
      </c>
      <c r="D20" s="195">
        <v>540</v>
      </c>
      <c r="E20" s="195" t="s">
        <v>373</v>
      </c>
      <c r="F20" s="71" t="s">
        <v>367</v>
      </c>
      <c r="G20" s="71" t="s">
        <v>369</v>
      </c>
      <c r="H20" s="71" t="s">
        <v>388</v>
      </c>
      <c r="I20" s="71" t="s">
        <v>386</v>
      </c>
    </row>
    <row r="21" spans="1:9" ht="87" x14ac:dyDescent="0.35">
      <c r="A21" s="195">
        <v>1</v>
      </c>
      <c r="B21" s="195">
        <v>20</v>
      </c>
      <c r="C21" s="195" t="s">
        <v>396</v>
      </c>
      <c r="D21" s="64">
        <v>88900</v>
      </c>
      <c r="E21" s="195" t="s">
        <v>366</v>
      </c>
      <c r="F21" s="71" t="s">
        <v>367</v>
      </c>
      <c r="G21" s="71" t="s">
        <v>369</v>
      </c>
      <c r="H21" s="71" t="s">
        <v>397</v>
      </c>
      <c r="I21" s="71" t="s">
        <v>364</v>
      </c>
    </row>
    <row r="22" spans="1:9" ht="87" x14ac:dyDescent="0.35">
      <c r="A22" s="195">
        <v>1</v>
      </c>
      <c r="B22" s="195">
        <v>21</v>
      </c>
      <c r="C22" s="195" t="s">
        <v>398</v>
      </c>
      <c r="D22" s="64">
        <v>42625</v>
      </c>
      <c r="E22" s="195" t="s">
        <v>373</v>
      </c>
      <c r="F22" s="71" t="s">
        <v>367</v>
      </c>
      <c r="G22" s="71" t="s">
        <v>369</v>
      </c>
      <c r="H22" s="71" t="s">
        <v>397</v>
      </c>
      <c r="I22" s="71" t="s">
        <v>374</v>
      </c>
    </row>
    <row r="23" spans="1:9" ht="87" x14ac:dyDescent="0.35">
      <c r="A23" s="195">
        <v>1</v>
      </c>
      <c r="B23" s="195">
        <v>22</v>
      </c>
      <c r="C23" s="195" t="s">
        <v>399</v>
      </c>
      <c r="D23" s="64">
        <v>17770</v>
      </c>
      <c r="E23" s="195" t="s">
        <v>373</v>
      </c>
      <c r="F23" s="71" t="s">
        <v>367</v>
      </c>
      <c r="G23" s="71" t="s">
        <v>369</v>
      </c>
      <c r="H23" s="71" t="s">
        <v>397</v>
      </c>
      <c r="I23" s="71" t="s">
        <v>376</v>
      </c>
    </row>
    <row r="24" spans="1:9" ht="87" x14ac:dyDescent="0.35">
      <c r="A24" s="195">
        <v>1</v>
      </c>
      <c r="B24" s="195">
        <v>23</v>
      </c>
      <c r="C24" s="195" t="s">
        <v>400</v>
      </c>
      <c r="D24" s="64">
        <v>4745</v>
      </c>
      <c r="E24" s="195" t="s">
        <v>373</v>
      </c>
      <c r="F24" s="71" t="s">
        <v>367</v>
      </c>
      <c r="G24" s="71" t="s">
        <v>369</v>
      </c>
      <c r="H24" s="71" t="s">
        <v>397</v>
      </c>
      <c r="I24" s="71" t="s">
        <v>378</v>
      </c>
    </row>
    <row r="25" spans="1:9" ht="87" x14ac:dyDescent="0.35">
      <c r="A25" s="195">
        <v>1</v>
      </c>
      <c r="B25" s="195">
        <v>24</v>
      </c>
      <c r="C25" s="195" t="s">
        <v>401</v>
      </c>
      <c r="D25" s="195">
        <v>80</v>
      </c>
      <c r="E25" s="195" t="s">
        <v>373</v>
      </c>
      <c r="F25" s="71" t="s">
        <v>367</v>
      </c>
      <c r="G25" s="71" t="s">
        <v>369</v>
      </c>
      <c r="H25" s="71" t="s">
        <v>397</v>
      </c>
      <c r="I25" s="71" t="s">
        <v>380</v>
      </c>
    </row>
    <row r="26" spans="1:9" ht="87" x14ac:dyDescent="0.35">
      <c r="A26" s="195">
        <v>1</v>
      </c>
      <c r="B26" s="195">
        <v>25</v>
      </c>
      <c r="C26" s="195" t="s">
        <v>402</v>
      </c>
      <c r="D26" s="195">
        <v>20</v>
      </c>
      <c r="E26" s="195" t="s">
        <v>373</v>
      </c>
      <c r="F26" s="71" t="s">
        <v>367</v>
      </c>
      <c r="G26" s="71" t="s">
        <v>369</v>
      </c>
      <c r="H26" s="71" t="s">
        <v>397</v>
      </c>
      <c r="I26" s="71" t="s">
        <v>382</v>
      </c>
    </row>
    <row r="27" spans="1:9" ht="87" x14ac:dyDescent="0.35">
      <c r="A27" s="195">
        <v>1</v>
      </c>
      <c r="B27" s="195">
        <v>26</v>
      </c>
      <c r="C27" s="195" t="s">
        <v>403</v>
      </c>
      <c r="D27" s="64">
        <v>22845</v>
      </c>
      <c r="E27" s="195" t="s">
        <v>373</v>
      </c>
      <c r="F27" s="71" t="s">
        <v>367</v>
      </c>
      <c r="G27" s="71" t="s">
        <v>369</v>
      </c>
      <c r="H27" s="71" t="s">
        <v>397</v>
      </c>
      <c r="I27" s="71" t="s">
        <v>384</v>
      </c>
    </row>
    <row r="28" spans="1:9" ht="87" x14ac:dyDescent="0.35">
      <c r="A28" s="195">
        <v>1</v>
      </c>
      <c r="B28" s="195">
        <v>27</v>
      </c>
      <c r="C28" s="195" t="s">
        <v>404</v>
      </c>
      <c r="D28" s="195">
        <v>820</v>
      </c>
      <c r="E28" s="195" t="s">
        <v>373</v>
      </c>
      <c r="F28" s="71" t="s">
        <v>367</v>
      </c>
      <c r="G28" s="71" t="s">
        <v>369</v>
      </c>
      <c r="H28" s="71" t="s">
        <v>397</v>
      </c>
      <c r="I28" s="71" t="s">
        <v>386</v>
      </c>
    </row>
    <row r="29" spans="1:9" ht="87" x14ac:dyDescent="0.35">
      <c r="A29" s="195">
        <v>1</v>
      </c>
      <c r="B29" s="195">
        <v>28</v>
      </c>
      <c r="C29" s="195" t="s">
        <v>405</v>
      </c>
      <c r="D29" s="64">
        <v>39525</v>
      </c>
      <c r="E29" s="195" t="s">
        <v>366</v>
      </c>
      <c r="F29" s="71" t="s">
        <v>367</v>
      </c>
      <c r="G29" s="71" t="s">
        <v>369</v>
      </c>
      <c r="H29" s="71" t="s">
        <v>406</v>
      </c>
      <c r="I29" s="71" t="s">
        <v>364</v>
      </c>
    </row>
    <row r="30" spans="1:9" ht="87" x14ac:dyDescent="0.35">
      <c r="A30" s="195">
        <v>1</v>
      </c>
      <c r="B30" s="195">
        <v>29</v>
      </c>
      <c r="C30" s="195" t="s">
        <v>407</v>
      </c>
      <c r="D30" s="64">
        <v>21865</v>
      </c>
      <c r="E30" s="195" t="s">
        <v>373</v>
      </c>
      <c r="F30" s="71" t="s">
        <v>367</v>
      </c>
      <c r="G30" s="71" t="s">
        <v>369</v>
      </c>
      <c r="H30" s="71" t="s">
        <v>406</v>
      </c>
      <c r="I30" s="71" t="s">
        <v>374</v>
      </c>
    </row>
    <row r="31" spans="1:9" ht="87" x14ac:dyDescent="0.35">
      <c r="A31" s="195">
        <v>1</v>
      </c>
      <c r="B31" s="195">
        <v>30</v>
      </c>
      <c r="C31" s="195" t="s">
        <v>408</v>
      </c>
      <c r="D31" s="64">
        <v>6435</v>
      </c>
      <c r="E31" s="195" t="s">
        <v>373</v>
      </c>
      <c r="F31" s="71" t="s">
        <v>367</v>
      </c>
      <c r="G31" s="71" t="s">
        <v>369</v>
      </c>
      <c r="H31" s="71" t="s">
        <v>406</v>
      </c>
      <c r="I31" s="71" t="s">
        <v>376</v>
      </c>
    </row>
    <row r="32" spans="1:9" ht="87" x14ac:dyDescent="0.35">
      <c r="A32" s="195">
        <v>1</v>
      </c>
      <c r="B32" s="195">
        <v>31</v>
      </c>
      <c r="C32" s="195" t="s">
        <v>409</v>
      </c>
      <c r="D32" s="64">
        <v>2610</v>
      </c>
      <c r="E32" s="195" t="s">
        <v>373</v>
      </c>
      <c r="F32" s="71" t="s">
        <v>367</v>
      </c>
      <c r="G32" s="71" t="s">
        <v>369</v>
      </c>
      <c r="H32" s="71" t="s">
        <v>406</v>
      </c>
      <c r="I32" s="71" t="s">
        <v>378</v>
      </c>
    </row>
    <row r="33" spans="1:9" ht="87" x14ac:dyDescent="0.35">
      <c r="A33" s="195">
        <v>1</v>
      </c>
      <c r="B33" s="195">
        <v>32</v>
      </c>
      <c r="C33" s="195" t="s">
        <v>410</v>
      </c>
      <c r="D33" s="195">
        <v>25</v>
      </c>
      <c r="E33" s="195" t="s">
        <v>373</v>
      </c>
      <c r="F33" s="71" t="s">
        <v>367</v>
      </c>
      <c r="G33" s="71" t="s">
        <v>369</v>
      </c>
      <c r="H33" s="71" t="s">
        <v>406</v>
      </c>
      <c r="I33" s="71" t="s">
        <v>380</v>
      </c>
    </row>
    <row r="34" spans="1:9" ht="87" x14ac:dyDescent="0.35">
      <c r="A34" s="195">
        <v>1</v>
      </c>
      <c r="B34" s="195">
        <v>33</v>
      </c>
      <c r="C34" s="195" t="s">
        <v>411</v>
      </c>
      <c r="D34" s="195">
        <v>0</v>
      </c>
      <c r="E34" s="195" t="s">
        <v>373</v>
      </c>
      <c r="F34" s="71" t="s">
        <v>367</v>
      </c>
      <c r="G34" s="71" t="s">
        <v>369</v>
      </c>
      <c r="H34" s="71" t="s">
        <v>406</v>
      </c>
      <c r="I34" s="71" t="s">
        <v>382</v>
      </c>
    </row>
    <row r="35" spans="1:9" ht="87" x14ac:dyDescent="0.35">
      <c r="A35" s="195">
        <v>1</v>
      </c>
      <c r="B35" s="195">
        <v>34</v>
      </c>
      <c r="C35" s="195" t="s">
        <v>412</v>
      </c>
      <c r="D35" s="64">
        <v>8315</v>
      </c>
      <c r="E35" s="195" t="s">
        <v>373</v>
      </c>
      <c r="F35" s="71" t="s">
        <v>367</v>
      </c>
      <c r="G35" s="71" t="s">
        <v>369</v>
      </c>
      <c r="H35" s="71" t="s">
        <v>406</v>
      </c>
      <c r="I35" s="71" t="s">
        <v>384</v>
      </c>
    </row>
    <row r="36" spans="1:9" ht="87" x14ac:dyDescent="0.35">
      <c r="A36" s="195">
        <v>1</v>
      </c>
      <c r="B36" s="195">
        <v>35</v>
      </c>
      <c r="C36" s="195" t="s">
        <v>413</v>
      </c>
      <c r="D36" s="195">
        <v>270</v>
      </c>
      <c r="E36" s="195" t="s">
        <v>373</v>
      </c>
      <c r="F36" s="71" t="s">
        <v>367</v>
      </c>
      <c r="G36" s="71" t="s">
        <v>369</v>
      </c>
      <c r="H36" s="71" t="s">
        <v>406</v>
      </c>
      <c r="I36" s="71" t="s">
        <v>386</v>
      </c>
    </row>
    <row r="37" spans="1:9" ht="87" x14ac:dyDescent="0.35">
      <c r="A37" s="195">
        <v>1</v>
      </c>
      <c r="B37" s="195">
        <v>36</v>
      </c>
      <c r="C37" s="195" t="s">
        <v>414</v>
      </c>
      <c r="D37" s="64">
        <v>66690</v>
      </c>
      <c r="E37" s="195" t="s">
        <v>366</v>
      </c>
      <c r="F37" s="71" t="s">
        <v>367</v>
      </c>
      <c r="G37" s="71" t="s">
        <v>369</v>
      </c>
      <c r="H37" s="71" t="s">
        <v>415</v>
      </c>
      <c r="I37" s="71" t="s">
        <v>364</v>
      </c>
    </row>
    <row r="38" spans="1:9" ht="87" x14ac:dyDescent="0.35">
      <c r="A38" s="195">
        <v>1</v>
      </c>
      <c r="B38" s="195">
        <v>37</v>
      </c>
      <c r="C38" s="195" t="s">
        <v>416</v>
      </c>
      <c r="D38" s="64">
        <v>42390</v>
      </c>
      <c r="E38" s="195" t="s">
        <v>373</v>
      </c>
      <c r="F38" s="71" t="s">
        <v>367</v>
      </c>
      <c r="G38" s="71" t="s">
        <v>369</v>
      </c>
      <c r="H38" s="71" t="s">
        <v>415</v>
      </c>
      <c r="I38" s="71" t="s">
        <v>374</v>
      </c>
    </row>
    <row r="39" spans="1:9" ht="87" x14ac:dyDescent="0.35">
      <c r="A39" s="195">
        <v>1</v>
      </c>
      <c r="B39" s="195">
        <v>38</v>
      </c>
      <c r="C39" s="195" t="s">
        <v>417</v>
      </c>
      <c r="D39" s="64">
        <v>8000</v>
      </c>
      <c r="E39" s="195" t="s">
        <v>373</v>
      </c>
      <c r="F39" s="71" t="s">
        <v>367</v>
      </c>
      <c r="G39" s="71" t="s">
        <v>369</v>
      </c>
      <c r="H39" s="71" t="s">
        <v>415</v>
      </c>
      <c r="I39" s="71" t="s">
        <v>376</v>
      </c>
    </row>
    <row r="40" spans="1:9" ht="87" x14ac:dyDescent="0.35">
      <c r="A40" s="195">
        <v>1</v>
      </c>
      <c r="B40" s="195">
        <v>39</v>
      </c>
      <c r="C40" s="195" t="s">
        <v>418</v>
      </c>
      <c r="D40" s="64">
        <v>7115</v>
      </c>
      <c r="E40" s="195" t="s">
        <v>373</v>
      </c>
      <c r="F40" s="71" t="s">
        <v>367</v>
      </c>
      <c r="G40" s="71" t="s">
        <v>369</v>
      </c>
      <c r="H40" s="71" t="s">
        <v>415</v>
      </c>
      <c r="I40" s="71" t="s">
        <v>378</v>
      </c>
    </row>
    <row r="41" spans="1:9" ht="87" x14ac:dyDescent="0.35">
      <c r="A41" s="195">
        <v>1</v>
      </c>
      <c r="B41" s="195">
        <v>40</v>
      </c>
      <c r="C41" s="195" t="s">
        <v>419</v>
      </c>
      <c r="D41" s="195">
        <v>25</v>
      </c>
      <c r="E41" s="195" t="s">
        <v>373</v>
      </c>
      <c r="F41" s="71" t="s">
        <v>367</v>
      </c>
      <c r="G41" s="71" t="s">
        <v>369</v>
      </c>
      <c r="H41" s="71" t="s">
        <v>415</v>
      </c>
      <c r="I41" s="71" t="s">
        <v>380</v>
      </c>
    </row>
    <row r="42" spans="1:9" ht="87" x14ac:dyDescent="0.35">
      <c r="A42" s="195">
        <v>1</v>
      </c>
      <c r="B42" s="195">
        <v>41</v>
      </c>
      <c r="C42" s="195" t="s">
        <v>420</v>
      </c>
      <c r="D42" s="195">
        <v>0</v>
      </c>
      <c r="E42" s="195" t="s">
        <v>373</v>
      </c>
      <c r="F42" s="71" t="s">
        <v>367</v>
      </c>
      <c r="G42" s="71" t="s">
        <v>369</v>
      </c>
      <c r="H42" s="71" t="s">
        <v>415</v>
      </c>
      <c r="I42" s="71" t="s">
        <v>382</v>
      </c>
    </row>
    <row r="43" spans="1:9" ht="87" x14ac:dyDescent="0.35">
      <c r="A43" s="195">
        <v>1</v>
      </c>
      <c r="B43" s="195">
        <v>42</v>
      </c>
      <c r="C43" s="195" t="s">
        <v>421</v>
      </c>
      <c r="D43" s="64">
        <v>8435</v>
      </c>
      <c r="E43" s="195" t="s">
        <v>373</v>
      </c>
      <c r="F43" s="71" t="s">
        <v>367</v>
      </c>
      <c r="G43" s="71" t="s">
        <v>369</v>
      </c>
      <c r="H43" s="71" t="s">
        <v>415</v>
      </c>
      <c r="I43" s="71" t="s">
        <v>384</v>
      </c>
    </row>
    <row r="44" spans="1:9" ht="87" x14ac:dyDescent="0.35">
      <c r="A44" s="195">
        <v>1</v>
      </c>
      <c r="B44" s="195">
        <v>43</v>
      </c>
      <c r="C44" s="195" t="s">
        <v>422</v>
      </c>
      <c r="D44" s="195">
        <v>720</v>
      </c>
      <c r="E44" s="195" t="s">
        <v>373</v>
      </c>
      <c r="F44" s="71" t="s">
        <v>367</v>
      </c>
      <c r="G44" s="71" t="s">
        <v>369</v>
      </c>
      <c r="H44" s="71" t="s">
        <v>415</v>
      </c>
      <c r="I44" s="71" t="s">
        <v>386</v>
      </c>
    </row>
    <row r="45" spans="1:9" ht="29" x14ac:dyDescent="0.35">
      <c r="A45" s="195">
        <v>1</v>
      </c>
      <c r="B45" s="195">
        <v>44</v>
      </c>
      <c r="C45" s="195" t="s">
        <v>423</v>
      </c>
      <c r="D45" s="64">
        <v>732600</v>
      </c>
      <c r="E45" s="195" t="s">
        <v>366</v>
      </c>
      <c r="F45" s="71" t="s">
        <v>367</v>
      </c>
      <c r="G45" s="71" t="s">
        <v>424</v>
      </c>
      <c r="H45" s="71" t="s">
        <v>363</v>
      </c>
      <c r="I45" s="71" t="s">
        <v>364</v>
      </c>
    </row>
    <row r="46" spans="1:9" ht="29" x14ac:dyDescent="0.35">
      <c r="A46" s="195">
        <v>1</v>
      </c>
      <c r="B46" s="195">
        <v>45</v>
      </c>
      <c r="C46" s="195" t="s">
        <v>425</v>
      </c>
      <c r="D46" s="64">
        <v>8670</v>
      </c>
      <c r="E46" s="195" t="s">
        <v>366</v>
      </c>
      <c r="F46" s="71" t="s">
        <v>367</v>
      </c>
      <c r="G46" s="71" t="s">
        <v>424</v>
      </c>
      <c r="H46" s="71" t="s">
        <v>371</v>
      </c>
      <c r="I46" s="71" t="s">
        <v>364</v>
      </c>
    </row>
    <row r="47" spans="1:9" ht="29" x14ac:dyDescent="0.35">
      <c r="A47" s="195">
        <v>1</v>
      </c>
      <c r="B47" s="195">
        <v>46</v>
      </c>
      <c r="C47" s="195" t="s">
        <v>426</v>
      </c>
      <c r="D47" s="64">
        <v>4670</v>
      </c>
      <c r="E47" s="195" t="s">
        <v>373</v>
      </c>
      <c r="F47" s="71" t="s">
        <v>367</v>
      </c>
      <c r="G47" s="71" t="s">
        <v>424</v>
      </c>
      <c r="H47" s="71" t="s">
        <v>371</v>
      </c>
      <c r="I47" s="71" t="s">
        <v>374</v>
      </c>
    </row>
    <row r="48" spans="1:9" ht="29" x14ac:dyDescent="0.35">
      <c r="A48" s="195">
        <v>1</v>
      </c>
      <c r="B48" s="195">
        <v>47</v>
      </c>
      <c r="C48" s="195" t="s">
        <v>427</v>
      </c>
      <c r="D48" s="64">
        <v>2260</v>
      </c>
      <c r="E48" s="195" t="s">
        <v>373</v>
      </c>
      <c r="F48" s="71" t="s">
        <v>367</v>
      </c>
      <c r="G48" s="71" t="s">
        <v>424</v>
      </c>
      <c r="H48" s="71" t="s">
        <v>371</v>
      </c>
      <c r="I48" s="71" t="s">
        <v>376</v>
      </c>
    </row>
    <row r="49" spans="1:9" ht="29" x14ac:dyDescent="0.35">
      <c r="A49" s="195">
        <v>1</v>
      </c>
      <c r="B49" s="195">
        <v>48</v>
      </c>
      <c r="C49" s="195" t="s">
        <v>428</v>
      </c>
      <c r="D49" s="195">
        <v>335</v>
      </c>
      <c r="E49" s="195" t="s">
        <v>373</v>
      </c>
      <c r="F49" s="71" t="s">
        <v>367</v>
      </c>
      <c r="G49" s="71" t="s">
        <v>424</v>
      </c>
      <c r="H49" s="71" t="s">
        <v>371</v>
      </c>
      <c r="I49" s="71" t="s">
        <v>378</v>
      </c>
    </row>
    <row r="50" spans="1:9" ht="29" x14ac:dyDescent="0.35">
      <c r="A50" s="195">
        <v>1</v>
      </c>
      <c r="B50" s="195">
        <v>49</v>
      </c>
      <c r="C50" s="195" t="s">
        <v>429</v>
      </c>
      <c r="D50" s="195">
        <v>10</v>
      </c>
      <c r="E50" s="195" t="s">
        <v>373</v>
      </c>
      <c r="F50" s="71" t="s">
        <v>367</v>
      </c>
      <c r="G50" s="71" t="s">
        <v>424</v>
      </c>
      <c r="H50" s="71" t="s">
        <v>371</v>
      </c>
      <c r="I50" s="71" t="s">
        <v>380</v>
      </c>
    </row>
    <row r="51" spans="1:9" ht="29" x14ac:dyDescent="0.35">
      <c r="A51" s="195">
        <v>1</v>
      </c>
      <c r="B51" s="195">
        <v>50</v>
      </c>
      <c r="C51" s="195" t="s">
        <v>430</v>
      </c>
      <c r="D51" s="195">
        <v>10</v>
      </c>
      <c r="E51" s="195" t="s">
        <v>373</v>
      </c>
      <c r="F51" s="71" t="s">
        <v>367</v>
      </c>
      <c r="G51" s="71" t="s">
        <v>424</v>
      </c>
      <c r="H51" s="71" t="s">
        <v>371</v>
      </c>
      <c r="I51" s="71" t="s">
        <v>382</v>
      </c>
    </row>
    <row r="52" spans="1:9" ht="29" x14ac:dyDescent="0.35">
      <c r="A52" s="195">
        <v>1</v>
      </c>
      <c r="B52" s="195">
        <v>51</v>
      </c>
      <c r="C52" s="195" t="s">
        <v>431</v>
      </c>
      <c r="D52" s="64">
        <v>1285</v>
      </c>
      <c r="E52" s="195" t="s">
        <v>373</v>
      </c>
      <c r="F52" s="71" t="s">
        <v>367</v>
      </c>
      <c r="G52" s="71" t="s">
        <v>424</v>
      </c>
      <c r="H52" s="71" t="s">
        <v>371</v>
      </c>
      <c r="I52" s="71" t="s">
        <v>384</v>
      </c>
    </row>
    <row r="53" spans="1:9" ht="29" x14ac:dyDescent="0.35">
      <c r="A53" s="195">
        <v>1</v>
      </c>
      <c r="B53" s="195">
        <v>52</v>
      </c>
      <c r="C53" s="195" t="s">
        <v>432</v>
      </c>
      <c r="D53" s="195">
        <v>105</v>
      </c>
      <c r="E53" s="195" t="s">
        <v>373</v>
      </c>
      <c r="F53" s="71" t="s">
        <v>367</v>
      </c>
      <c r="G53" s="71" t="s">
        <v>424</v>
      </c>
      <c r="H53" s="71" t="s">
        <v>371</v>
      </c>
      <c r="I53" s="71" t="s">
        <v>386</v>
      </c>
    </row>
    <row r="54" spans="1:9" ht="43.5" x14ac:dyDescent="0.35">
      <c r="A54" s="195">
        <v>1</v>
      </c>
      <c r="B54" s="195">
        <v>53</v>
      </c>
      <c r="C54" s="195" t="s">
        <v>433</v>
      </c>
      <c r="D54" s="64">
        <v>35580</v>
      </c>
      <c r="E54" s="195" t="s">
        <v>366</v>
      </c>
      <c r="F54" s="71" t="s">
        <v>367</v>
      </c>
      <c r="G54" s="71" t="s">
        <v>424</v>
      </c>
      <c r="H54" s="71" t="s">
        <v>388</v>
      </c>
      <c r="I54" s="71" t="s">
        <v>364</v>
      </c>
    </row>
    <row r="55" spans="1:9" ht="43.5" x14ac:dyDescent="0.35">
      <c r="A55" s="195">
        <v>1</v>
      </c>
      <c r="B55" s="195">
        <v>54</v>
      </c>
      <c r="C55" s="195" t="s">
        <v>434</v>
      </c>
      <c r="D55" s="64">
        <v>20725</v>
      </c>
      <c r="E55" s="195" t="s">
        <v>373</v>
      </c>
      <c r="F55" s="71" t="s">
        <v>367</v>
      </c>
      <c r="G55" s="71" t="s">
        <v>424</v>
      </c>
      <c r="H55" s="71" t="s">
        <v>388</v>
      </c>
      <c r="I55" s="71" t="s">
        <v>374</v>
      </c>
    </row>
    <row r="56" spans="1:9" ht="43.5" x14ac:dyDescent="0.35">
      <c r="A56" s="195">
        <v>1</v>
      </c>
      <c r="B56" s="195">
        <v>55</v>
      </c>
      <c r="C56" s="195" t="s">
        <v>435</v>
      </c>
      <c r="D56" s="64">
        <v>7350</v>
      </c>
      <c r="E56" s="195" t="s">
        <v>373</v>
      </c>
      <c r="F56" s="71" t="s">
        <v>367</v>
      </c>
      <c r="G56" s="71" t="s">
        <v>424</v>
      </c>
      <c r="H56" s="71" t="s">
        <v>388</v>
      </c>
      <c r="I56" s="71" t="s">
        <v>376</v>
      </c>
    </row>
    <row r="57" spans="1:9" ht="43.5" x14ac:dyDescent="0.35">
      <c r="A57" s="195">
        <v>1</v>
      </c>
      <c r="B57" s="195">
        <v>56</v>
      </c>
      <c r="C57" s="195" t="s">
        <v>436</v>
      </c>
      <c r="D57" s="64">
        <v>1095</v>
      </c>
      <c r="E57" s="195" t="s">
        <v>373</v>
      </c>
      <c r="F57" s="71" t="s">
        <v>367</v>
      </c>
      <c r="G57" s="71" t="s">
        <v>424</v>
      </c>
      <c r="H57" s="71" t="s">
        <v>388</v>
      </c>
      <c r="I57" s="71" t="s">
        <v>378</v>
      </c>
    </row>
    <row r="58" spans="1:9" ht="43.5" x14ac:dyDescent="0.35">
      <c r="A58" s="195">
        <v>1</v>
      </c>
      <c r="B58" s="195">
        <v>57</v>
      </c>
      <c r="C58" s="195" t="s">
        <v>437</v>
      </c>
      <c r="D58" s="195">
        <v>20</v>
      </c>
      <c r="E58" s="195" t="s">
        <v>373</v>
      </c>
      <c r="F58" s="71" t="s">
        <v>367</v>
      </c>
      <c r="G58" s="71" t="s">
        <v>424</v>
      </c>
      <c r="H58" s="71" t="s">
        <v>388</v>
      </c>
      <c r="I58" s="71" t="s">
        <v>380</v>
      </c>
    </row>
    <row r="59" spans="1:9" ht="43.5" x14ac:dyDescent="0.35">
      <c r="A59" s="195">
        <v>1</v>
      </c>
      <c r="B59" s="195">
        <v>58</v>
      </c>
      <c r="C59" s="195" t="s">
        <v>438</v>
      </c>
      <c r="D59" s="195">
        <v>0</v>
      </c>
      <c r="E59" s="195" t="s">
        <v>373</v>
      </c>
      <c r="F59" s="71" t="s">
        <v>367</v>
      </c>
      <c r="G59" s="71" t="s">
        <v>424</v>
      </c>
      <c r="H59" s="71" t="s">
        <v>388</v>
      </c>
      <c r="I59" s="71" t="s">
        <v>382</v>
      </c>
    </row>
    <row r="60" spans="1:9" ht="43.5" x14ac:dyDescent="0.35">
      <c r="A60" s="195">
        <v>1</v>
      </c>
      <c r="B60" s="195">
        <v>59</v>
      </c>
      <c r="C60" s="195" t="s">
        <v>439</v>
      </c>
      <c r="D60" s="64">
        <v>6075</v>
      </c>
      <c r="E60" s="195" t="s">
        <v>373</v>
      </c>
      <c r="F60" s="71" t="s">
        <v>367</v>
      </c>
      <c r="G60" s="71" t="s">
        <v>424</v>
      </c>
      <c r="H60" s="71" t="s">
        <v>388</v>
      </c>
      <c r="I60" s="71" t="s">
        <v>384</v>
      </c>
    </row>
    <row r="61" spans="1:9" ht="43.5" x14ac:dyDescent="0.35">
      <c r="A61" s="195">
        <v>1</v>
      </c>
      <c r="B61" s="195">
        <v>60</v>
      </c>
      <c r="C61" s="195" t="s">
        <v>440</v>
      </c>
      <c r="D61" s="195">
        <v>315</v>
      </c>
      <c r="E61" s="195" t="s">
        <v>373</v>
      </c>
      <c r="F61" s="71" t="s">
        <v>367</v>
      </c>
      <c r="G61" s="71" t="s">
        <v>424</v>
      </c>
      <c r="H61" s="71" t="s">
        <v>388</v>
      </c>
      <c r="I61" s="71" t="s">
        <v>386</v>
      </c>
    </row>
    <row r="62" spans="1:9" ht="43.5" x14ac:dyDescent="0.35">
      <c r="A62" s="195">
        <v>1</v>
      </c>
      <c r="B62" s="195">
        <v>61</v>
      </c>
      <c r="C62" s="195" t="s">
        <v>441</v>
      </c>
      <c r="D62" s="64">
        <v>85215</v>
      </c>
      <c r="E62" s="195" t="s">
        <v>366</v>
      </c>
      <c r="F62" s="71" t="s">
        <v>367</v>
      </c>
      <c r="G62" s="71" t="s">
        <v>424</v>
      </c>
      <c r="H62" s="71" t="s">
        <v>397</v>
      </c>
      <c r="I62" s="71" t="s">
        <v>364</v>
      </c>
    </row>
    <row r="63" spans="1:9" ht="43.5" x14ac:dyDescent="0.35">
      <c r="A63" s="195">
        <v>1</v>
      </c>
      <c r="B63" s="195">
        <v>62</v>
      </c>
      <c r="C63" s="195" t="s">
        <v>442</v>
      </c>
      <c r="D63" s="64">
        <v>47450</v>
      </c>
      <c r="E63" s="195" t="s">
        <v>373</v>
      </c>
      <c r="F63" s="71" t="s">
        <v>367</v>
      </c>
      <c r="G63" s="71" t="s">
        <v>424</v>
      </c>
      <c r="H63" s="71" t="s">
        <v>397</v>
      </c>
      <c r="I63" s="71" t="s">
        <v>374</v>
      </c>
    </row>
    <row r="64" spans="1:9" ht="43.5" x14ac:dyDescent="0.35">
      <c r="A64" s="195">
        <v>1</v>
      </c>
      <c r="B64" s="195">
        <v>63</v>
      </c>
      <c r="C64" s="195" t="s">
        <v>443</v>
      </c>
      <c r="D64" s="64">
        <v>17440</v>
      </c>
      <c r="E64" s="195" t="s">
        <v>373</v>
      </c>
      <c r="F64" s="71" t="s">
        <v>367</v>
      </c>
      <c r="G64" s="71" t="s">
        <v>424</v>
      </c>
      <c r="H64" s="71" t="s">
        <v>397</v>
      </c>
      <c r="I64" s="71" t="s">
        <v>376</v>
      </c>
    </row>
    <row r="65" spans="1:9" ht="43.5" x14ac:dyDescent="0.35">
      <c r="A65" s="195">
        <v>1</v>
      </c>
      <c r="B65" s="195">
        <v>64</v>
      </c>
      <c r="C65" s="195" t="s">
        <v>444</v>
      </c>
      <c r="D65" s="64">
        <v>3685</v>
      </c>
      <c r="E65" s="195" t="s">
        <v>373</v>
      </c>
      <c r="F65" s="71" t="s">
        <v>367</v>
      </c>
      <c r="G65" s="71" t="s">
        <v>424</v>
      </c>
      <c r="H65" s="71" t="s">
        <v>397</v>
      </c>
      <c r="I65" s="71" t="s">
        <v>378</v>
      </c>
    </row>
    <row r="66" spans="1:9" ht="43.5" x14ac:dyDescent="0.35">
      <c r="A66" s="195">
        <v>1</v>
      </c>
      <c r="B66" s="195">
        <v>65</v>
      </c>
      <c r="C66" s="195" t="s">
        <v>445</v>
      </c>
      <c r="D66" s="195">
        <v>110</v>
      </c>
      <c r="E66" s="195" t="s">
        <v>373</v>
      </c>
      <c r="F66" s="71" t="s">
        <v>367</v>
      </c>
      <c r="G66" s="71" t="s">
        <v>424</v>
      </c>
      <c r="H66" s="71" t="s">
        <v>397</v>
      </c>
      <c r="I66" s="71" t="s">
        <v>380</v>
      </c>
    </row>
    <row r="67" spans="1:9" ht="43.5" x14ac:dyDescent="0.35">
      <c r="A67" s="195">
        <v>1</v>
      </c>
      <c r="B67" s="195">
        <v>66</v>
      </c>
      <c r="C67" s="195" t="s">
        <v>446</v>
      </c>
      <c r="D67" s="195">
        <v>0</v>
      </c>
      <c r="E67" s="195" t="s">
        <v>373</v>
      </c>
      <c r="F67" s="71" t="s">
        <v>367</v>
      </c>
      <c r="G67" s="71" t="s">
        <v>424</v>
      </c>
      <c r="H67" s="71" t="s">
        <v>397</v>
      </c>
      <c r="I67" s="71" t="s">
        <v>382</v>
      </c>
    </row>
    <row r="68" spans="1:9" ht="43.5" x14ac:dyDescent="0.35">
      <c r="A68" s="195">
        <v>1</v>
      </c>
      <c r="B68" s="195">
        <v>67</v>
      </c>
      <c r="C68" s="195" t="s">
        <v>447</v>
      </c>
      <c r="D68" s="64">
        <v>15720</v>
      </c>
      <c r="E68" s="195" t="s">
        <v>373</v>
      </c>
      <c r="F68" s="71" t="s">
        <v>367</v>
      </c>
      <c r="G68" s="71" t="s">
        <v>424</v>
      </c>
      <c r="H68" s="71" t="s">
        <v>397</v>
      </c>
      <c r="I68" s="71" t="s">
        <v>384</v>
      </c>
    </row>
    <row r="69" spans="1:9" ht="43.5" x14ac:dyDescent="0.35">
      <c r="A69" s="195">
        <v>1</v>
      </c>
      <c r="B69" s="195">
        <v>68</v>
      </c>
      <c r="C69" s="195" t="s">
        <v>448</v>
      </c>
      <c r="D69" s="195">
        <v>810</v>
      </c>
      <c r="E69" s="195" t="s">
        <v>373</v>
      </c>
      <c r="F69" s="71" t="s">
        <v>367</v>
      </c>
      <c r="G69" s="71" t="s">
        <v>424</v>
      </c>
      <c r="H69" s="71" t="s">
        <v>397</v>
      </c>
      <c r="I69" s="71" t="s">
        <v>386</v>
      </c>
    </row>
    <row r="70" spans="1:9" ht="43.5" x14ac:dyDescent="0.35">
      <c r="A70" s="195">
        <v>1</v>
      </c>
      <c r="B70" s="195">
        <v>69</v>
      </c>
      <c r="C70" s="195" t="s">
        <v>449</v>
      </c>
      <c r="D70" s="64">
        <v>74685</v>
      </c>
      <c r="E70" s="195" t="s">
        <v>366</v>
      </c>
      <c r="F70" s="71" t="s">
        <v>367</v>
      </c>
      <c r="G70" s="71" t="s">
        <v>424</v>
      </c>
      <c r="H70" s="71" t="s">
        <v>406</v>
      </c>
      <c r="I70" s="71" t="s">
        <v>364</v>
      </c>
    </row>
    <row r="71" spans="1:9" ht="43.5" x14ac:dyDescent="0.35">
      <c r="A71" s="195">
        <v>1</v>
      </c>
      <c r="B71" s="195">
        <v>70</v>
      </c>
      <c r="C71" s="195" t="s">
        <v>450</v>
      </c>
      <c r="D71" s="64">
        <v>40460</v>
      </c>
      <c r="E71" s="195" t="s">
        <v>373</v>
      </c>
      <c r="F71" s="71" t="s">
        <v>367</v>
      </c>
      <c r="G71" s="71" t="s">
        <v>424</v>
      </c>
      <c r="H71" s="71" t="s">
        <v>406</v>
      </c>
      <c r="I71" s="71" t="s">
        <v>374</v>
      </c>
    </row>
    <row r="72" spans="1:9" ht="43.5" x14ac:dyDescent="0.35">
      <c r="A72" s="195">
        <v>1</v>
      </c>
      <c r="B72" s="195">
        <v>71</v>
      </c>
      <c r="C72" s="195" t="s">
        <v>451</v>
      </c>
      <c r="D72" s="64">
        <v>15645</v>
      </c>
      <c r="E72" s="195" t="s">
        <v>373</v>
      </c>
      <c r="F72" s="71" t="s">
        <v>367</v>
      </c>
      <c r="G72" s="71" t="s">
        <v>424</v>
      </c>
      <c r="H72" s="71" t="s">
        <v>406</v>
      </c>
      <c r="I72" s="71" t="s">
        <v>376</v>
      </c>
    </row>
    <row r="73" spans="1:9" ht="43.5" x14ac:dyDescent="0.35">
      <c r="A73" s="195">
        <v>1</v>
      </c>
      <c r="B73" s="195">
        <v>72</v>
      </c>
      <c r="C73" s="195" t="s">
        <v>452</v>
      </c>
      <c r="D73" s="64">
        <v>3000</v>
      </c>
      <c r="E73" s="195" t="s">
        <v>373</v>
      </c>
      <c r="F73" s="71" t="s">
        <v>367</v>
      </c>
      <c r="G73" s="71" t="s">
        <v>424</v>
      </c>
      <c r="H73" s="71" t="s">
        <v>406</v>
      </c>
      <c r="I73" s="71" t="s">
        <v>378</v>
      </c>
    </row>
    <row r="74" spans="1:9" ht="43.5" x14ac:dyDescent="0.35">
      <c r="A74" s="195">
        <v>1</v>
      </c>
      <c r="B74" s="195">
        <v>73</v>
      </c>
      <c r="C74" s="195" t="s">
        <v>453</v>
      </c>
      <c r="D74" s="195">
        <v>80</v>
      </c>
      <c r="E74" s="195" t="s">
        <v>373</v>
      </c>
      <c r="F74" s="71" t="s">
        <v>367</v>
      </c>
      <c r="G74" s="71" t="s">
        <v>424</v>
      </c>
      <c r="H74" s="71" t="s">
        <v>406</v>
      </c>
      <c r="I74" s="71" t="s">
        <v>380</v>
      </c>
    </row>
    <row r="75" spans="1:9" ht="43.5" x14ac:dyDescent="0.35">
      <c r="A75" s="195">
        <v>1</v>
      </c>
      <c r="B75" s="195">
        <v>74</v>
      </c>
      <c r="C75" s="195" t="s">
        <v>454</v>
      </c>
      <c r="D75" s="195">
        <v>35</v>
      </c>
      <c r="E75" s="195" t="s">
        <v>373</v>
      </c>
      <c r="F75" s="71" t="s">
        <v>367</v>
      </c>
      <c r="G75" s="71" t="s">
        <v>424</v>
      </c>
      <c r="H75" s="71" t="s">
        <v>406</v>
      </c>
      <c r="I75" s="71" t="s">
        <v>382</v>
      </c>
    </row>
    <row r="76" spans="1:9" ht="43.5" x14ac:dyDescent="0.35">
      <c r="A76" s="195">
        <v>1</v>
      </c>
      <c r="B76" s="195">
        <v>75</v>
      </c>
      <c r="C76" s="195" t="s">
        <v>455</v>
      </c>
      <c r="D76" s="64">
        <v>14765</v>
      </c>
      <c r="E76" s="195" t="s">
        <v>373</v>
      </c>
      <c r="F76" s="71" t="s">
        <v>367</v>
      </c>
      <c r="G76" s="71" t="s">
        <v>424</v>
      </c>
      <c r="H76" s="71" t="s">
        <v>406</v>
      </c>
      <c r="I76" s="71" t="s">
        <v>384</v>
      </c>
    </row>
    <row r="77" spans="1:9" ht="43.5" x14ac:dyDescent="0.35">
      <c r="A77" s="195">
        <v>1</v>
      </c>
      <c r="B77" s="195">
        <v>76</v>
      </c>
      <c r="C77" s="195" t="s">
        <v>456</v>
      </c>
      <c r="D77" s="195">
        <v>700</v>
      </c>
      <c r="E77" s="195" t="s">
        <v>373</v>
      </c>
      <c r="F77" s="71" t="s">
        <v>367</v>
      </c>
      <c r="G77" s="71" t="s">
        <v>424</v>
      </c>
      <c r="H77" s="71" t="s">
        <v>406</v>
      </c>
      <c r="I77" s="71" t="s">
        <v>386</v>
      </c>
    </row>
    <row r="78" spans="1:9" ht="29" x14ac:dyDescent="0.35">
      <c r="A78" s="195">
        <v>1</v>
      </c>
      <c r="B78" s="195">
        <v>77</v>
      </c>
      <c r="C78" s="195" t="s">
        <v>457</v>
      </c>
      <c r="D78" s="64">
        <v>528445</v>
      </c>
      <c r="E78" s="195" t="s">
        <v>366</v>
      </c>
      <c r="F78" s="71" t="s">
        <v>367</v>
      </c>
      <c r="G78" s="71" t="s">
        <v>424</v>
      </c>
      <c r="H78" s="71" t="s">
        <v>415</v>
      </c>
      <c r="I78" s="71" t="s">
        <v>364</v>
      </c>
    </row>
    <row r="79" spans="1:9" ht="29" x14ac:dyDescent="0.35">
      <c r="A79" s="195">
        <v>1</v>
      </c>
      <c r="B79" s="195">
        <v>78</v>
      </c>
      <c r="C79" s="195" t="s">
        <v>458</v>
      </c>
      <c r="D79" s="64">
        <v>365380</v>
      </c>
      <c r="E79" s="195" t="s">
        <v>373</v>
      </c>
      <c r="F79" s="71" t="s">
        <v>367</v>
      </c>
      <c r="G79" s="71" t="s">
        <v>424</v>
      </c>
      <c r="H79" s="71" t="s">
        <v>415</v>
      </c>
      <c r="I79" s="71" t="s">
        <v>374</v>
      </c>
    </row>
    <row r="80" spans="1:9" ht="29" x14ac:dyDescent="0.35">
      <c r="A80" s="195">
        <v>1</v>
      </c>
      <c r="B80" s="195">
        <v>79</v>
      </c>
      <c r="C80" s="195" t="s">
        <v>459</v>
      </c>
      <c r="D80" s="64">
        <v>67720</v>
      </c>
      <c r="E80" s="195" t="s">
        <v>373</v>
      </c>
      <c r="F80" s="71" t="s">
        <v>367</v>
      </c>
      <c r="G80" s="71" t="s">
        <v>424</v>
      </c>
      <c r="H80" s="71" t="s">
        <v>415</v>
      </c>
      <c r="I80" s="71" t="s">
        <v>376</v>
      </c>
    </row>
    <row r="81" spans="1:9" ht="29" x14ac:dyDescent="0.35">
      <c r="A81" s="195">
        <v>1</v>
      </c>
      <c r="B81" s="195">
        <v>80</v>
      </c>
      <c r="C81" s="195" t="s">
        <v>460</v>
      </c>
      <c r="D81" s="64">
        <v>34450</v>
      </c>
      <c r="E81" s="195" t="s">
        <v>373</v>
      </c>
      <c r="F81" s="71" t="s">
        <v>367</v>
      </c>
      <c r="G81" s="71" t="s">
        <v>424</v>
      </c>
      <c r="H81" s="71" t="s">
        <v>415</v>
      </c>
      <c r="I81" s="71" t="s">
        <v>378</v>
      </c>
    </row>
    <row r="82" spans="1:9" ht="29" x14ac:dyDescent="0.35">
      <c r="A82" s="195">
        <v>1</v>
      </c>
      <c r="B82" s="195">
        <v>81</v>
      </c>
      <c r="C82" s="195" t="s">
        <v>461</v>
      </c>
      <c r="D82" s="195">
        <v>470</v>
      </c>
      <c r="E82" s="195" t="s">
        <v>373</v>
      </c>
      <c r="F82" s="71" t="s">
        <v>367</v>
      </c>
      <c r="G82" s="71" t="s">
        <v>424</v>
      </c>
      <c r="H82" s="71" t="s">
        <v>415</v>
      </c>
      <c r="I82" s="71" t="s">
        <v>380</v>
      </c>
    </row>
    <row r="83" spans="1:9" ht="29" x14ac:dyDescent="0.35">
      <c r="A83" s="195">
        <v>1</v>
      </c>
      <c r="B83" s="195">
        <v>82</v>
      </c>
      <c r="C83" s="195" t="s">
        <v>462</v>
      </c>
      <c r="D83" s="195">
        <v>115</v>
      </c>
      <c r="E83" s="195" t="s">
        <v>373</v>
      </c>
      <c r="F83" s="71" t="s">
        <v>367</v>
      </c>
      <c r="G83" s="71" t="s">
        <v>424</v>
      </c>
      <c r="H83" s="71" t="s">
        <v>415</v>
      </c>
      <c r="I83" s="71" t="s">
        <v>382</v>
      </c>
    </row>
    <row r="84" spans="1:9" ht="29" x14ac:dyDescent="0.35">
      <c r="A84" s="195">
        <v>1</v>
      </c>
      <c r="B84" s="195">
        <v>83</v>
      </c>
      <c r="C84" s="195" t="s">
        <v>463</v>
      </c>
      <c r="D84" s="64">
        <v>54755</v>
      </c>
      <c r="E84" s="195" t="s">
        <v>373</v>
      </c>
      <c r="F84" s="71" t="s">
        <v>367</v>
      </c>
      <c r="G84" s="71" t="s">
        <v>424</v>
      </c>
      <c r="H84" s="71" t="s">
        <v>415</v>
      </c>
      <c r="I84" s="71" t="s">
        <v>384</v>
      </c>
    </row>
    <row r="85" spans="1:9" ht="29" x14ac:dyDescent="0.35">
      <c r="A85" s="195">
        <v>1</v>
      </c>
      <c r="B85" s="195">
        <v>84</v>
      </c>
      <c r="C85" s="195" t="s">
        <v>464</v>
      </c>
      <c r="D85" s="64">
        <v>5560</v>
      </c>
      <c r="E85" s="195" t="s">
        <v>373</v>
      </c>
      <c r="F85" s="71" t="s">
        <v>367</v>
      </c>
      <c r="G85" s="71" t="s">
        <v>424</v>
      </c>
      <c r="H85" s="71" t="s">
        <v>415</v>
      </c>
      <c r="I85" s="71" t="s">
        <v>386</v>
      </c>
    </row>
    <row r="86" spans="1:9" ht="43.5" x14ac:dyDescent="0.35">
      <c r="A86" s="195">
        <v>1</v>
      </c>
      <c r="B86" s="195">
        <v>85</v>
      </c>
      <c r="C86" s="195" t="s">
        <v>465</v>
      </c>
      <c r="D86" s="64">
        <v>10065</v>
      </c>
      <c r="E86" s="195" t="s">
        <v>366</v>
      </c>
      <c r="F86" s="71" t="s">
        <v>367</v>
      </c>
      <c r="G86" s="71" t="s">
        <v>466</v>
      </c>
      <c r="H86" s="71" t="s">
        <v>363</v>
      </c>
      <c r="I86" s="71" t="s">
        <v>364</v>
      </c>
    </row>
    <row r="87" spans="1:9" ht="43.5" x14ac:dyDescent="0.35">
      <c r="A87" s="195">
        <v>1</v>
      </c>
      <c r="B87" s="195">
        <v>86</v>
      </c>
      <c r="C87" s="195" t="s">
        <v>467</v>
      </c>
      <c r="D87" s="64">
        <v>10065</v>
      </c>
      <c r="E87" s="195" t="s">
        <v>366</v>
      </c>
      <c r="F87" s="71" t="s">
        <v>367</v>
      </c>
      <c r="G87" s="71" t="s">
        <v>466</v>
      </c>
      <c r="H87" s="71" t="s">
        <v>371</v>
      </c>
      <c r="I87" s="71" t="s">
        <v>364</v>
      </c>
    </row>
    <row r="88" spans="1:9" ht="43.5" x14ac:dyDescent="0.35">
      <c r="A88" s="195">
        <v>1</v>
      </c>
      <c r="B88" s="195">
        <v>87</v>
      </c>
      <c r="C88" s="195" t="s">
        <v>468</v>
      </c>
      <c r="D88" s="64">
        <v>5440</v>
      </c>
      <c r="E88" s="195" t="s">
        <v>373</v>
      </c>
      <c r="F88" s="71" t="s">
        <v>367</v>
      </c>
      <c r="G88" s="71" t="s">
        <v>466</v>
      </c>
      <c r="H88" s="71" t="s">
        <v>371</v>
      </c>
      <c r="I88" s="71" t="s">
        <v>374</v>
      </c>
    </row>
    <row r="89" spans="1:9" ht="43.5" x14ac:dyDescent="0.35">
      <c r="A89" s="195">
        <v>1</v>
      </c>
      <c r="B89" s="195">
        <v>88</v>
      </c>
      <c r="C89" s="195" t="s">
        <v>469</v>
      </c>
      <c r="D89" s="64">
        <v>2645</v>
      </c>
      <c r="E89" s="195" t="s">
        <v>373</v>
      </c>
      <c r="F89" s="71" t="s">
        <v>367</v>
      </c>
      <c r="G89" s="71" t="s">
        <v>466</v>
      </c>
      <c r="H89" s="71" t="s">
        <v>371</v>
      </c>
      <c r="I89" s="71" t="s">
        <v>376</v>
      </c>
    </row>
    <row r="90" spans="1:9" ht="43.5" x14ac:dyDescent="0.35">
      <c r="A90" s="195">
        <v>1</v>
      </c>
      <c r="B90" s="195">
        <v>89</v>
      </c>
      <c r="C90" s="195" t="s">
        <v>470</v>
      </c>
      <c r="D90" s="195">
        <v>815</v>
      </c>
      <c r="E90" s="195" t="s">
        <v>373</v>
      </c>
      <c r="F90" s="71" t="s">
        <v>367</v>
      </c>
      <c r="G90" s="71" t="s">
        <v>466</v>
      </c>
      <c r="H90" s="71" t="s">
        <v>371</v>
      </c>
      <c r="I90" s="71" t="s">
        <v>378</v>
      </c>
    </row>
    <row r="91" spans="1:9" ht="43.5" x14ac:dyDescent="0.35">
      <c r="A91" s="195">
        <v>1</v>
      </c>
      <c r="B91" s="195">
        <v>90</v>
      </c>
      <c r="C91" s="195" t="s">
        <v>471</v>
      </c>
      <c r="D91" s="195">
        <v>60</v>
      </c>
      <c r="E91" s="195" t="s">
        <v>373</v>
      </c>
      <c r="F91" s="71" t="s">
        <v>367</v>
      </c>
      <c r="G91" s="71" t="s">
        <v>466</v>
      </c>
      <c r="H91" s="71" t="s">
        <v>371</v>
      </c>
      <c r="I91" s="71" t="s">
        <v>380</v>
      </c>
    </row>
    <row r="92" spans="1:9" ht="43.5" x14ac:dyDescent="0.35">
      <c r="A92" s="195">
        <v>1</v>
      </c>
      <c r="B92" s="195">
        <v>91</v>
      </c>
      <c r="C92" s="195" t="s">
        <v>472</v>
      </c>
      <c r="D92" s="195">
        <v>0</v>
      </c>
      <c r="E92" s="195" t="s">
        <v>373</v>
      </c>
      <c r="F92" s="71" t="s">
        <v>367</v>
      </c>
      <c r="G92" s="71" t="s">
        <v>466</v>
      </c>
      <c r="H92" s="71" t="s">
        <v>371</v>
      </c>
      <c r="I92" s="71" t="s">
        <v>382</v>
      </c>
    </row>
    <row r="93" spans="1:9" ht="43.5" x14ac:dyDescent="0.35">
      <c r="A93" s="195">
        <v>1</v>
      </c>
      <c r="B93" s="195">
        <v>92</v>
      </c>
      <c r="C93" s="195" t="s">
        <v>473</v>
      </c>
      <c r="D93" s="64">
        <v>1000</v>
      </c>
      <c r="E93" s="195" t="s">
        <v>373</v>
      </c>
      <c r="F93" s="71" t="s">
        <v>367</v>
      </c>
      <c r="G93" s="71" t="s">
        <v>466</v>
      </c>
      <c r="H93" s="71" t="s">
        <v>371</v>
      </c>
      <c r="I93" s="71" t="s">
        <v>384</v>
      </c>
    </row>
    <row r="94" spans="1:9" ht="43.5" x14ac:dyDescent="0.35">
      <c r="A94" s="195">
        <v>1</v>
      </c>
      <c r="B94" s="195">
        <v>93</v>
      </c>
      <c r="C94" s="195" t="s">
        <v>474</v>
      </c>
      <c r="D94" s="195">
        <v>100</v>
      </c>
      <c r="E94" s="195" t="s">
        <v>373</v>
      </c>
      <c r="F94" s="71" t="s">
        <v>367</v>
      </c>
      <c r="G94" s="71" t="s">
        <v>466</v>
      </c>
      <c r="H94" s="71" t="s">
        <v>371</v>
      </c>
      <c r="I94" s="71" t="s">
        <v>386</v>
      </c>
    </row>
    <row r="95" spans="1:9" ht="43.5" x14ac:dyDescent="0.35">
      <c r="A95" s="195">
        <v>1</v>
      </c>
      <c r="B95" s="195">
        <v>94</v>
      </c>
      <c r="C95" s="195" t="s">
        <v>475</v>
      </c>
      <c r="D95" s="195">
        <v>0</v>
      </c>
      <c r="E95" s="195" t="s">
        <v>366</v>
      </c>
      <c r="F95" s="71" t="s">
        <v>367</v>
      </c>
      <c r="G95" s="71" t="s">
        <v>466</v>
      </c>
      <c r="H95" s="71" t="s">
        <v>388</v>
      </c>
      <c r="I95" s="71" t="s">
        <v>364</v>
      </c>
    </row>
    <row r="96" spans="1:9" ht="43.5" x14ac:dyDescent="0.35">
      <c r="A96" s="195">
        <v>1</v>
      </c>
      <c r="B96" s="195">
        <v>95</v>
      </c>
      <c r="C96" s="195" t="s">
        <v>476</v>
      </c>
      <c r="D96" s="195">
        <v>0</v>
      </c>
      <c r="E96" s="195" t="s">
        <v>373</v>
      </c>
      <c r="F96" s="71" t="s">
        <v>367</v>
      </c>
      <c r="G96" s="71" t="s">
        <v>466</v>
      </c>
      <c r="H96" s="71" t="s">
        <v>388</v>
      </c>
      <c r="I96" s="71" t="s">
        <v>374</v>
      </c>
    </row>
    <row r="97" spans="1:9" ht="43.5" x14ac:dyDescent="0.35">
      <c r="A97" s="195">
        <v>1</v>
      </c>
      <c r="B97" s="195">
        <v>96</v>
      </c>
      <c r="C97" s="195" t="s">
        <v>477</v>
      </c>
      <c r="D97" s="195">
        <v>0</v>
      </c>
      <c r="E97" s="195" t="s">
        <v>373</v>
      </c>
      <c r="F97" s="71" t="s">
        <v>367</v>
      </c>
      <c r="G97" s="71" t="s">
        <v>466</v>
      </c>
      <c r="H97" s="71" t="s">
        <v>388</v>
      </c>
      <c r="I97" s="71" t="s">
        <v>376</v>
      </c>
    </row>
    <row r="98" spans="1:9" ht="43.5" x14ac:dyDescent="0.35">
      <c r="A98" s="195">
        <v>1</v>
      </c>
      <c r="B98" s="195">
        <v>97</v>
      </c>
      <c r="C98" s="195" t="s">
        <v>478</v>
      </c>
      <c r="D98" s="195">
        <v>0</v>
      </c>
      <c r="E98" s="195" t="s">
        <v>373</v>
      </c>
      <c r="F98" s="71" t="s">
        <v>367</v>
      </c>
      <c r="G98" s="71" t="s">
        <v>466</v>
      </c>
      <c r="H98" s="71" t="s">
        <v>388</v>
      </c>
      <c r="I98" s="71" t="s">
        <v>378</v>
      </c>
    </row>
    <row r="99" spans="1:9" ht="43.5" x14ac:dyDescent="0.35">
      <c r="A99" s="195">
        <v>1</v>
      </c>
      <c r="B99" s="195">
        <v>98</v>
      </c>
      <c r="C99" s="195" t="s">
        <v>479</v>
      </c>
      <c r="D99" s="195">
        <v>0</v>
      </c>
      <c r="E99" s="195" t="s">
        <v>373</v>
      </c>
      <c r="F99" s="71" t="s">
        <v>367</v>
      </c>
      <c r="G99" s="71" t="s">
        <v>466</v>
      </c>
      <c r="H99" s="71" t="s">
        <v>388</v>
      </c>
      <c r="I99" s="71" t="s">
        <v>380</v>
      </c>
    </row>
    <row r="100" spans="1:9" ht="43.5" x14ac:dyDescent="0.35">
      <c r="A100" s="195">
        <v>1</v>
      </c>
      <c r="B100" s="195">
        <v>99</v>
      </c>
      <c r="C100" s="195" t="s">
        <v>480</v>
      </c>
      <c r="D100" s="195">
        <v>0</v>
      </c>
      <c r="E100" s="195" t="s">
        <v>373</v>
      </c>
      <c r="F100" s="71" t="s">
        <v>367</v>
      </c>
      <c r="G100" s="71" t="s">
        <v>466</v>
      </c>
      <c r="H100" s="71" t="s">
        <v>388</v>
      </c>
      <c r="I100" s="71" t="s">
        <v>382</v>
      </c>
    </row>
    <row r="101" spans="1:9" ht="43.5" x14ac:dyDescent="0.35">
      <c r="A101" s="195">
        <v>1</v>
      </c>
      <c r="B101" s="195">
        <v>100</v>
      </c>
      <c r="C101" s="195" t="s">
        <v>481</v>
      </c>
      <c r="D101" s="195">
        <v>0</v>
      </c>
      <c r="E101" s="195" t="s">
        <v>373</v>
      </c>
      <c r="F101" s="71" t="s">
        <v>367</v>
      </c>
      <c r="G101" s="71" t="s">
        <v>466</v>
      </c>
      <c r="H101" s="71" t="s">
        <v>388</v>
      </c>
      <c r="I101" s="71" t="s">
        <v>384</v>
      </c>
    </row>
    <row r="102" spans="1:9" ht="43.5" x14ac:dyDescent="0.35">
      <c r="A102" s="195">
        <v>1</v>
      </c>
      <c r="B102" s="195">
        <v>101</v>
      </c>
      <c r="C102" s="195" t="s">
        <v>482</v>
      </c>
      <c r="D102" s="195">
        <v>0</v>
      </c>
      <c r="E102" s="195" t="s">
        <v>373</v>
      </c>
      <c r="F102" s="71" t="s">
        <v>367</v>
      </c>
      <c r="G102" s="71" t="s">
        <v>466</v>
      </c>
      <c r="H102" s="71" t="s">
        <v>388</v>
      </c>
      <c r="I102" s="71" t="s">
        <v>386</v>
      </c>
    </row>
    <row r="103" spans="1:9" ht="43.5" x14ac:dyDescent="0.35">
      <c r="A103" s="195">
        <v>1</v>
      </c>
      <c r="B103" s="195">
        <v>102</v>
      </c>
      <c r="C103" s="195" t="s">
        <v>483</v>
      </c>
      <c r="D103" s="195">
        <v>0</v>
      </c>
      <c r="E103" s="195" t="s">
        <v>366</v>
      </c>
      <c r="F103" s="71" t="s">
        <v>367</v>
      </c>
      <c r="G103" s="71" t="s">
        <v>466</v>
      </c>
      <c r="H103" s="71" t="s">
        <v>397</v>
      </c>
      <c r="I103" s="71" t="s">
        <v>364</v>
      </c>
    </row>
    <row r="104" spans="1:9" ht="43.5" x14ac:dyDescent="0.35">
      <c r="A104" s="195">
        <v>1</v>
      </c>
      <c r="B104" s="195">
        <v>103</v>
      </c>
      <c r="C104" s="195" t="s">
        <v>484</v>
      </c>
      <c r="D104" s="195">
        <v>0</v>
      </c>
      <c r="E104" s="195" t="s">
        <v>373</v>
      </c>
      <c r="F104" s="71" t="s">
        <v>367</v>
      </c>
      <c r="G104" s="71" t="s">
        <v>466</v>
      </c>
      <c r="H104" s="71" t="s">
        <v>397</v>
      </c>
      <c r="I104" s="71" t="s">
        <v>374</v>
      </c>
    </row>
    <row r="105" spans="1:9" ht="43.5" x14ac:dyDescent="0.35">
      <c r="A105" s="195">
        <v>1</v>
      </c>
      <c r="B105" s="195">
        <v>104</v>
      </c>
      <c r="C105" s="195" t="s">
        <v>485</v>
      </c>
      <c r="D105" s="195">
        <v>0</v>
      </c>
      <c r="E105" s="195" t="s">
        <v>373</v>
      </c>
      <c r="F105" s="71" t="s">
        <v>367</v>
      </c>
      <c r="G105" s="71" t="s">
        <v>466</v>
      </c>
      <c r="H105" s="71" t="s">
        <v>397</v>
      </c>
      <c r="I105" s="71" t="s">
        <v>376</v>
      </c>
    </row>
    <row r="106" spans="1:9" ht="43.5" x14ac:dyDescent="0.35">
      <c r="A106" s="195">
        <v>1</v>
      </c>
      <c r="B106" s="195">
        <v>105</v>
      </c>
      <c r="C106" s="195" t="s">
        <v>486</v>
      </c>
      <c r="D106" s="195">
        <v>0</v>
      </c>
      <c r="E106" s="195" t="s">
        <v>373</v>
      </c>
      <c r="F106" s="71" t="s">
        <v>367</v>
      </c>
      <c r="G106" s="71" t="s">
        <v>466</v>
      </c>
      <c r="H106" s="71" t="s">
        <v>397</v>
      </c>
      <c r="I106" s="71" t="s">
        <v>378</v>
      </c>
    </row>
    <row r="107" spans="1:9" ht="43.5" x14ac:dyDescent="0.35">
      <c r="A107" s="195">
        <v>1</v>
      </c>
      <c r="B107" s="195">
        <v>106</v>
      </c>
      <c r="C107" s="195" t="s">
        <v>487</v>
      </c>
      <c r="D107" s="195">
        <v>0</v>
      </c>
      <c r="E107" s="195" t="s">
        <v>373</v>
      </c>
      <c r="F107" s="71" t="s">
        <v>367</v>
      </c>
      <c r="G107" s="71" t="s">
        <v>466</v>
      </c>
      <c r="H107" s="71" t="s">
        <v>397</v>
      </c>
      <c r="I107" s="71" t="s">
        <v>380</v>
      </c>
    </row>
    <row r="108" spans="1:9" ht="43.5" x14ac:dyDescent="0.35">
      <c r="A108" s="195">
        <v>1</v>
      </c>
      <c r="B108" s="195">
        <v>107</v>
      </c>
      <c r="C108" s="195" t="s">
        <v>488</v>
      </c>
      <c r="D108" s="195">
        <v>0</v>
      </c>
      <c r="E108" s="195" t="s">
        <v>373</v>
      </c>
      <c r="F108" s="71" t="s">
        <v>367</v>
      </c>
      <c r="G108" s="71" t="s">
        <v>466</v>
      </c>
      <c r="H108" s="71" t="s">
        <v>397</v>
      </c>
      <c r="I108" s="71" t="s">
        <v>382</v>
      </c>
    </row>
    <row r="109" spans="1:9" ht="43.5" x14ac:dyDescent="0.35">
      <c r="A109" s="195">
        <v>1</v>
      </c>
      <c r="B109" s="195">
        <v>108</v>
      </c>
      <c r="C109" s="195" t="s">
        <v>489</v>
      </c>
      <c r="D109" s="195">
        <v>0</v>
      </c>
      <c r="E109" s="195" t="s">
        <v>373</v>
      </c>
      <c r="F109" s="71" t="s">
        <v>367</v>
      </c>
      <c r="G109" s="71" t="s">
        <v>466</v>
      </c>
      <c r="H109" s="71" t="s">
        <v>397</v>
      </c>
      <c r="I109" s="71" t="s">
        <v>384</v>
      </c>
    </row>
    <row r="110" spans="1:9" ht="43.5" x14ac:dyDescent="0.35">
      <c r="A110" s="195">
        <v>1</v>
      </c>
      <c r="B110" s="195">
        <v>109</v>
      </c>
      <c r="C110" s="195" t="s">
        <v>490</v>
      </c>
      <c r="D110" s="195">
        <v>0</v>
      </c>
      <c r="E110" s="195" t="s">
        <v>373</v>
      </c>
      <c r="F110" s="71" t="s">
        <v>367</v>
      </c>
      <c r="G110" s="71" t="s">
        <v>466</v>
      </c>
      <c r="H110" s="71" t="s">
        <v>397</v>
      </c>
      <c r="I110" s="71" t="s">
        <v>386</v>
      </c>
    </row>
    <row r="111" spans="1:9" ht="43.5" x14ac:dyDescent="0.35">
      <c r="A111" s="195">
        <v>1</v>
      </c>
      <c r="B111" s="195">
        <v>110</v>
      </c>
      <c r="C111" s="195" t="s">
        <v>491</v>
      </c>
      <c r="D111" s="195">
        <v>0</v>
      </c>
      <c r="E111" s="195" t="s">
        <v>366</v>
      </c>
      <c r="F111" s="71" t="s">
        <v>367</v>
      </c>
      <c r="G111" s="71" t="s">
        <v>466</v>
      </c>
      <c r="H111" s="71" t="s">
        <v>406</v>
      </c>
      <c r="I111" s="71" t="s">
        <v>364</v>
      </c>
    </row>
    <row r="112" spans="1:9" ht="43.5" x14ac:dyDescent="0.35">
      <c r="A112" s="195">
        <v>1</v>
      </c>
      <c r="B112" s="195">
        <v>111</v>
      </c>
      <c r="C112" s="195" t="s">
        <v>492</v>
      </c>
      <c r="D112" s="195">
        <v>0</v>
      </c>
      <c r="E112" s="195" t="s">
        <v>373</v>
      </c>
      <c r="F112" s="71" t="s">
        <v>367</v>
      </c>
      <c r="G112" s="71" t="s">
        <v>466</v>
      </c>
      <c r="H112" s="71" t="s">
        <v>406</v>
      </c>
      <c r="I112" s="71" t="s">
        <v>374</v>
      </c>
    </row>
    <row r="113" spans="1:9" ht="43.5" x14ac:dyDescent="0.35">
      <c r="A113" s="195">
        <v>1</v>
      </c>
      <c r="B113" s="195">
        <v>112</v>
      </c>
      <c r="C113" s="195" t="s">
        <v>493</v>
      </c>
      <c r="D113" s="195">
        <v>0</v>
      </c>
      <c r="E113" s="195" t="s">
        <v>373</v>
      </c>
      <c r="F113" s="71" t="s">
        <v>367</v>
      </c>
      <c r="G113" s="71" t="s">
        <v>466</v>
      </c>
      <c r="H113" s="71" t="s">
        <v>406</v>
      </c>
      <c r="I113" s="71" t="s">
        <v>376</v>
      </c>
    </row>
    <row r="114" spans="1:9" ht="43.5" x14ac:dyDescent="0.35">
      <c r="A114" s="195">
        <v>1</v>
      </c>
      <c r="B114" s="195">
        <v>113</v>
      </c>
      <c r="C114" s="195" t="s">
        <v>494</v>
      </c>
      <c r="D114" s="195">
        <v>0</v>
      </c>
      <c r="E114" s="195" t="s">
        <v>373</v>
      </c>
      <c r="F114" s="71" t="s">
        <v>367</v>
      </c>
      <c r="G114" s="71" t="s">
        <v>466</v>
      </c>
      <c r="H114" s="71" t="s">
        <v>406</v>
      </c>
      <c r="I114" s="71" t="s">
        <v>378</v>
      </c>
    </row>
    <row r="115" spans="1:9" ht="43.5" x14ac:dyDescent="0.35">
      <c r="A115" s="195">
        <v>1</v>
      </c>
      <c r="B115" s="195">
        <v>114</v>
      </c>
      <c r="C115" s="195" t="s">
        <v>495</v>
      </c>
      <c r="D115" s="195">
        <v>0</v>
      </c>
      <c r="E115" s="195" t="s">
        <v>373</v>
      </c>
      <c r="F115" s="71" t="s">
        <v>367</v>
      </c>
      <c r="G115" s="71" t="s">
        <v>466</v>
      </c>
      <c r="H115" s="71" t="s">
        <v>406</v>
      </c>
      <c r="I115" s="71" t="s">
        <v>380</v>
      </c>
    </row>
    <row r="116" spans="1:9" ht="43.5" x14ac:dyDescent="0.35">
      <c r="A116" s="195">
        <v>1</v>
      </c>
      <c r="B116" s="195">
        <v>115</v>
      </c>
      <c r="C116" s="195" t="s">
        <v>496</v>
      </c>
      <c r="D116" s="195">
        <v>0</v>
      </c>
      <c r="E116" s="195" t="s">
        <v>373</v>
      </c>
      <c r="F116" s="71" t="s">
        <v>367</v>
      </c>
      <c r="G116" s="71" t="s">
        <v>466</v>
      </c>
      <c r="H116" s="71" t="s">
        <v>406</v>
      </c>
      <c r="I116" s="71" t="s">
        <v>382</v>
      </c>
    </row>
    <row r="117" spans="1:9" ht="43.5" x14ac:dyDescent="0.35">
      <c r="A117" s="195">
        <v>1</v>
      </c>
      <c r="B117" s="195">
        <v>116</v>
      </c>
      <c r="C117" s="195" t="s">
        <v>497</v>
      </c>
      <c r="D117" s="195">
        <v>0</v>
      </c>
      <c r="E117" s="195" t="s">
        <v>373</v>
      </c>
      <c r="F117" s="71" t="s">
        <v>367</v>
      </c>
      <c r="G117" s="71" t="s">
        <v>466</v>
      </c>
      <c r="H117" s="71" t="s">
        <v>406</v>
      </c>
      <c r="I117" s="71" t="s">
        <v>384</v>
      </c>
    </row>
    <row r="118" spans="1:9" ht="43.5" x14ac:dyDescent="0.35">
      <c r="A118" s="195">
        <v>1</v>
      </c>
      <c r="B118" s="195">
        <v>117</v>
      </c>
      <c r="C118" s="195" t="s">
        <v>498</v>
      </c>
      <c r="D118" s="195">
        <v>0</v>
      </c>
      <c r="E118" s="195" t="s">
        <v>373</v>
      </c>
      <c r="F118" s="71" t="s">
        <v>367</v>
      </c>
      <c r="G118" s="71" t="s">
        <v>466</v>
      </c>
      <c r="H118" s="71" t="s">
        <v>406</v>
      </c>
      <c r="I118" s="71" t="s">
        <v>386</v>
      </c>
    </row>
    <row r="119" spans="1:9" ht="43.5" x14ac:dyDescent="0.35">
      <c r="A119" s="195">
        <v>1</v>
      </c>
      <c r="B119" s="195">
        <v>118</v>
      </c>
      <c r="C119" s="195" t="s">
        <v>499</v>
      </c>
      <c r="D119" s="195">
        <v>0</v>
      </c>
      <c r="E119" s="195" t="s">
        <v>366</v>
      </c>
      <c r="F119" s="71" t="s">
        <v>367</v>
      </c>
      <c r="G119" s="71" t="s">
        <v>466</v>
      </c>
      <c r="H119" s="71" t="s">
        <v>415</v>
      </c>
      <c r="I119" s="71" t="s">
        <v>364</v>
      </c>
    </row>
    <row r="120" spans="1:9" ht="43.5" x14ac:dyDescent="0.35">
      <c r="A120" s="195">
        <v>1</v>
      </c>
      <c r="B120" s="195">
        <v>119</v>
      </c>
      <c r="C120" s="195" t="s">
        <v>500</v>
      </c>
      <c r="D120" s="195">
        <v>0</v>
      </c>
      <c r="E120" s="195" t="s">
        <v>373</v>
      </c>
      <c r="F120" s="71" t="s">
        <v>367</v>
      </c>
      <c r="G120" s="71" t="s">
        <v>466</v>
      </c>
      <c r="H120" s="71" t="s">
        <v>415</v>
      </c>
      <c r="I120" s="71" t="s">
        <v>374</v>
      </c>
    </row>
    <row r="121" spans="1:9" ht="43.5" x14ac:dyDescent="0.35">
      <c r="A121" s="195">
        <v>1</v>
      </c>
      <c r="B121" s="195">
        <v>120</v>
      </c>
      <c r="C121" s="195" t="s">
        <v>501</v>
      </c>
      <c r="D121" s="195">
        <v>0</v>
      </c>
      <c r="E121" s="195" t="s">
        <v>373</v>
      </c>
      <c r="F121" s="71" t="s">
        <v>367</v>
      </c>
      <c r="G121" s="71" t="s">
        <v>466</v>
      </c>
      <c r="H121" s="71" t="s">
        <v>415</v>
      </c>
      <c r="I121" s="71" t="s">
        <v>376</v>
      </c>
    </row>
    <row r="122" spans="1:9" ht="43.5" x14ac:dyDescent="0.35">
      <c r="A122" s="195">
        <v>1</v>
      </c>
      <c r="B122" s="195">
        <v>121</v>
      </c>
      <c r="C122" s="195" t="s">
        <v>502</v>
      </c>
      <c r="D122" s="195">
        <v>0</v>
      </c>
      <c r="E122" s="195" t="s">
        <v>373</v>
      </c>
      <c r="F122" s="71" t="s">
        <v>367</v>
      </c>
      <c r="G122" s="71" t="s">
        <v>466</v>
      </c>
      <c r="H122" s="71" t="s">
        <v>415</v>
      </c>
      <c r="I122" s="71" t="s">
        <v>378</v>
      </c>
    </row>
    <row r="123" spans="1:9" ht="43.5" x14ac:dyDescent="0.35">
      <c r="A123" s="195">
        <v>1</v>
      </c>
      <c r="B123" s="195">
        <v>122</v>
      </c>
      <c r="C123" s="195" t="s">
        <v>503</v>
      </c>
      <c r="D123" s="195">
        <v>0</v>
      </c>
      <c r="E123" s="195" t="s">
        <v>373</v>
      </c>
      <c r="F123" s="71" t="s">
        <v>367</v>
      </c>
      <c r="G123" s="71" t="s">
        <v>466</v>
      </c>
      <c r="H123" s="71" t="s">
        <v>415</v>
      </c>
      <c r="I123" s="71" t="s">
        <v>380</v>
      </c>
    </row>
    <row r="124" spans="1:9" ht="43.5" x14ac:dyDescent="0.35">
      <c r="A124" s="195">
        <v>1</v>
      </c>
      <c r="B124" s="195">
        <v>123</v>
      </c>
      <c r="C124" s="195" t="s">
        <v>504</v>
      </c>
      <c r="D124" s="195">
        <v>0</v>
      </c>
      <c r="E124" s="195" t="s">
        <v>373</v>
      </c>
      <c r="F124" s="71" t="s">
        <v>367</v>
      </c>
      <c r="G124" s="71" t="s">
        <v>466</v>
      </c>
      <c r="H124" s="71" t="s">
        <v>415</v>
      </c>
      <c r="I124" s="71" t="s">
        <v>382</v>
      </c>
    </row>
    <row r="125" spans="1:9" ht="43.5" x14ac:dyDescent="0.35">
      <c r="A125" s="195">
        <v>1</v>
      </c>
      <c r="B125" s="195">
        <v>124</v>
      </c>
      <c r="C125" s="195" t="s">
        <v>505</v>
      </c>
      <c r="D125" s="195">
        <v>0</v>
      </c>
      <c r="E125" s="195" t="s">
        <v>373</v>
      </c>
      <c r="F125" s="71" t="s">
        <v>367</v>
      </c>
      <c r="G125" s="71" t="s">
        <v>466</v>
      </c>
      <c r="H125" s="71" t="s">
        <v>415</v>
      </c>
      <c r="I125" s="71" t="s">
        <v>384</v>
      </c>
    </row>
    <row r="126" spans="1:9" ht="43.5" x14ac:dyDescent="0.35">
      <c r="A126" s="195">
        <v>1</v>
      </c>
      <c r="B126" s="195">
        <v>125</v>
      </c>
      <c r="C126" s="195" t="s">
        <v>506</v>
      </c>
      <c r="D126" s="195">
        <v>0</v>
      </c>
      <c r="E126" s="195" t="s">
        <v>373</v>
      </c>
      <c r="F126" s="71" t="s">
        <v>367</v>
      </c>
      <c r="G126" s="71" t="s">
        <v>466</v>
      </c>
      <c r="H126" s="71" t="s">
        <v>415</v>
      </c>
      <c r="I126" s="71" t="s">
        <v>386</v>
      </c>
    </row>
    <row r="127" spans="1:9" x14ac:dyDescent="0.35">
      <c r="A127" s="195">
        <v>1</v>
      </c>
      <c r="B127" s="195">
        <v>126</v>
      </c>
      <c r="C127" s="195" t="s">
        <v>507</v>
      </c>
      <c r="D127" s="64">
        <v>846440</v>
      </c>
      <c r="E127" s="195" t="s">
        <v>366</v>
      </c>
      <c r="F127" s="71" t="s">
        <v>508</v>
      </c>
      <c r="G127" s="71" t="s">
        <v>362</v>
      </c>
      <c r="H127" s="71" t="s">
        <v>363</v>
      </c>
      <c r="I127" s="71" t="s">
        <v>364</v>
      </c>
    </row>
    <row r="128" spans="1:9" ht="87" x14ac:dyDescent="0.35">
      <c r="A128" s="195">
        <v>1</v>
      </c>
      <c r="B128" s="195">
        <v>127</v>
      </c>
      <c r="C128" s="195" t="s">
        <v>509</v>
      </c>
      <c r="D128" s="64">
        <v>419265</v>
      </c>
      <c r="E128" s="195" t="s">
        <v>366</v>
      </c>
      <c r="F128" s="71" t="s">
        <v>508</v>
      </c>
      <c r="G128" s="71" t="s">
        <v>369</v>
      </c>
      <c r="H128" s="71" t="s">
        <v>363</v>
      </c>
      <c r="I128" s="71" t="s">
        <v>364</v>
      </c>
    </row>
    <row r="129" spans="1:9" ht="87" x14ac:dyDescent="0.35">
      <c r="A129" s="195">
        <v>1</v>
      </c>
      <c r="B129" s="195">
        <v>128</v>
      </c>
      <c r="C129" s="195" t="s">
        <v>510</v>
      </c>
      <c r="D129" s="64">
        <v>203660</v>
      </c>
      <c r="E129" s="195" t="s">
        <v>366</v>
      </c>
      <c r="F129" s="71" t="s">
        <v>508</v>
      </c>
      <c r="G129" s="71" t="s">
        <v>369</v>
      </c>
      <c r="H129" s="71" t="s">
        <v>371</v>
      </c>
      <c r="I129" s="71" t="s">
        <v>364</v>
      </c>
    </row>
    <row r="130" spans="1:9" ht="87" x14ac:dyDescent="0.35">
      <c r="A130" s="195">
        <v>1</v>
      </c>
      <c r="B130" s="195">
        <v>129</v>
      </c>
      <c r="C130" s="195" t="s">
        <v>511</v>
      </c>
      <c r="D130" s="64">
        <v>47775</v>
      </c>
      <c r="E130" s="195" t="s">
        <v>373</v>
      </c>
      <c r="F130" s="71" t="s">
        <v>508</v>
      </c>
      <c r="G130" s="71" t="s">
        <v>369</v>
      </c>
      <c r="H130" s="71" t="s">
        <v>371</v>
      </c>
      <c r="I130" s="71" t="s">
        <v>374</v>
      </c>
    </row>
    <row r="131" spans="1:9" ht="87" x14ac:dyDescent="0.35">
      <c r="A131" s="195">
        <v>1</v>
      </c>
      <c r="B131" s="195">
        <v>130</v>
      </c>
      <c r="C131" s="195" t="s">
        <v>512</v>
      </c>
      <c r="D131" s="64">
        <v>95225</v>
      </c>
      <c r="E131" s="195" t="s">
        <v>373</v>
      </c>
      <c r="F131" s="71" t="s">
        <v>508</v>
      </c>
      <c r="G131" s="71" t="s">
        <v>369</v>
      </c>
      <c r="H131" s="71" t="s">
        <v>371</v>
      </c>
      <c r="I131" s="71" t="s">
        <v>376</v>
      </c>
    </row>
    <row r="132" spans="1:9" ht="87" x14ac:dyDescent="0.35">
      <c r="A132" s="195">
        <v>1</v>
      </c>
      <c r="B132" s="195">
        <v>131</v>
      </c>
      <c r="C132" s="195" t="s">
        <v>513</v>
      </c>
      <c r="D132" s="64">
        <v>9890</v>
      </c>
      <c r="E132" s="195" t="s">
        <v>373</v>
      </c>
      <c r="F132" s="71" t="s">
        <v>508</v>
      </c>
      <c r="G132" s="71" t="s">
        <v>369</v>
      </c>
      <c r="H132" s="71" t="s">
        <v>371</v>
      </c>
      <c r="I132" s="71" t="s">
        <v>378</v>
      </c>
    </row>
    <row r="133" spans="1:9" ht="87" x14ac:dyDescent="0.35">
      <c r="A133" s="195">
        <v>1</v>
      </c>
      <c r="B133" s="195">
        <v>132</v>
      </c>
      <c r="C133" s="195" t="s">
        <v>514</v>
      </c>
      <c r="D133" s="195">
        <v>410</v>
      </c>
      <c r="E133" s="195" t="s">
        <v>373</v>
      </c>
      <c r="F133" s="71" t="s">
        <v>508</v>
      </c>
      <c r="G133" s="71" t="s">
        <v>369</v>
      </c>
      <c r="H133" s="71" t="s">
        <v>371</v>
      </c>
      <c r="I133" s="71" t="s">
        <v>380</v>
      </c>
    </row>
    <row r="134" spans="1:9" ht="87" x14ac:dyDescent="0.35">
      <c r="A134" s="195">
        <v>1</v>
      </c>
      <c r="B134" s="195">
        <v>133</v>
      </c>
      <c r="C134" s="195" t="s">
        <v>515</v>
      </c>
      <c r="D134" s="195">
        <v>10</v>
      </c>
      <c r="E134" s="195" t="s">
        <v>373</v>
      </c>
      <c r="F134" s="71" t="s">
        <v>508</v>
      </c>
      <c r="G134" s="71" t="s">
        <v>369</v>
      </c>
      <c r="H134" s="71" t="s">
        <v>371</v>
      </c>
      <c r="I134" s="71" t="s">
        <v>382</v>
      </c>
    </row>
    <row r="135" spans="1:9" ht="87" x14ac:dyDescent="0.35">
      <c r="A135" s="195">
        <v>1</v>
      </c>
      <c r="B135" s="195">
        <v>134</v>
      </c>
      <c r="C135" s="195" t="s">
        <v>516</v>
      </c>
      <c r="D135" s="64">
        <v>46815</v>
      </c>
      <c r="E135" s="195" t="s">
        <v>373</v>
      </c>
      <c r="F135" s="71" t="s">
        <v>508</v>
      </c>
      <c r="G135" s="71" t="s">
        <v>369</v>
      </c>
      <c r="H135" s="71" t="s">
        <v>371</v>
      </c>
      <c r="I135" s="71" t="s">
        <v>384</v>
      </c>
    </row>
    <row r="136" spans="1:9" ht="87" x14ac:dyDescent="0.35">
      <c r="A136" s="195">
        <v>1</v>
      </c>
      <c r="B136" s="195">
        <v>135</v>
      </c>
      <c r="C136" s="195" t="s">
        <v>517</v>
      </c>
      <c r="D136" s="64">
        <v>3540</v>
      </c>
      <c r="E136" s="195" t="s">
        <v>373</v>
      </c>
      <c r="F136" s="71" t="s">
        <v>508</v>
      </c>
      <c r="G136" s="71" t="s">
        <v>369</v>
      </c>
      <c r="H136" s="71" t="s">
        <v>371</v>
      </c>
      <c r="I136" s="71" t="s">
        <v>386</v>
      </c>
    </row>
    <row r="137" spans="1:9" ht="87" x14ac:dyDescent="0.35">
      <c r="A137" s="195">
        <v>1</v>
      </c>
      <c r="B137" s="195">
        <v>136</v>
      </c>
      <c r="C137" s="195" t="s">
        <v>518</v>
      </c>
      <c r="D137" s="64">
        <v>119070</v>
      </c>
      <c r="E137" s="195" t="s">
        <v>366</v>
      </c>
      <c r="F137" s="71" t="s">
        <v>508</v>
      </c>
      <c r="G137" s="71" t="s">
        <v>369</v>
      </c>
      <c r="H137" s="71" t="s">
        <v>388</v>
      </c>
      <c r="I137" s="71" t="s">
        <v>364</v>
      </c>
    </row>
    <row r="138" spans="1:9" ht="87" x14ac:dyDescent="0.35">
      <c r="A138" s="195">
        <v>1</v>
      </c>
      <c r="B138" s="195">
        <v>137</v>
      </c>
      <c r="C138" s="195" t="s">
        <v>519</v>
      </c>
      <c r="D138" s="64">
        <v>35740</v>
      </c>
      <c r="E138" s="195" t="s">
        <v>373</v>
      </c>
      <c r="F138" s="71" t="s">
        <v>508</v>
      </c>
      <c r="G138" s="71" t="s">
        <v>369</v>
      </c>
      <c r="H138" s="71" t="s">
        <v>388</v>
      </c>
      <c r="I138" s="71" t="s">
        <v>374</v>
      </c>
    </row>
    <row r="139" spans="1:9" ht="87" x14ac:dyDescent="0.35">
      <c r="A139" s="195">
        <v>1</v>
      </c>
      <c r="B139" s="195">
        <v>138</v>
      </c>
      <c r="C139" s="195" t="s">
        <v>520</v>
      </c>
      <c r="D139" s="64">
        <v>41605</v>
      </c>
      <c r="E139" s="195" t="s">
        <v>373</v>
      </c>
      <c r="F139" s="71" t="s">
        <v>508</v>
      </c>
      <c r="G139" s="71" t="s">
        <v>369</v>
      </c>
      <c r="H139" s="71" t="s">
        <v>388</v>
      </c>
      <c r="I139" s="71" t="s">
        <v>376</v>
      </c>
    </row>
    <row r="140" spans="1:9" ht="87" x14ac:dyDescent="0.35">
      <c r="A140" s="195">
        <v>1</v>
      </c>
      <c r="B140" s="195">
        <v>139</v>
      </c>
      <c r="C140" s="195" t="s">
        <v>521</v>
      </c>
      <c r="D140" s="64">
        <v>5360</v>
      </c>
      <c r="E140" s="195" t="s">
        <v>373</v>
      </c>
      <c r="F140" s="71" t="s">
        <v>508</v>
      </c>
      <c r="G140" s="71" t="s">
        <v>369</v>
      </c>
      <c r="H140" s="71" t="s">
        <v>388</v>
      </c>
      <c r="I140" s="71" t="s">
        <v>378</v>
      </c>
    </row>
    <row r="141" spans="1:9" ht="87" x14ac:dyDescent="0.35">
      <c r="A141" s="195">
        <v>1</v>
      </c>
      <c r="B141" s="195">
        <v>140</v>
      </c>
      <c r="C141" s="195" t="s">
        <v>522</v>
      </c>
      <c r="D141" s="195">
        <v>185</v>
      </c>
      <c r="E141" s="195" t="s">
        <v>373</v>
      </c>
      <c r="F141" s="71" t="s">
        <v>508</v>
      </c>
      <c r="G141" s="71" t="s">
        <v>369</v>
      </c>
      <c r="H141" s="71" t="s">
        <v>388</v>
      </c>
      <c r="I141" s="71" t="s">
        <v>380</v>
      </c>
    </row>
    <row r="142" spans="1:9" ht="87" x14ac:dyDescent="0.35">
      <c r="A142" s="195">
        <v>1</v>
      </c>
      <c r="B142" s="195">
        <v>141</v>
      </c>
      <c r="C142" s="195" t="s">
        <v>523</v>
      </c>
      <c r="D142" s="195">
        <v>45</v>
      </c>
      <c r="E142" s="195" t="s">
        <v>373</v>
      </c>
      <c r="F142" s="71" t="s">
        <v>508</v>
      </c>
      <c r="G142" s="71" t="s">
        <v>369</v>
      </c>
      <c r="H142" s="71" t="s">
        <v>388</v>
      </c>
      <c r="I142" s="71" t="s">
        <v>382</v>
      </c>
    </row>
    <row r="143" spans="1:9" ht="87" x14ac:dyDescent="0.35">
      <c r="A143" s="195">
        <v>1</v>
      </c>
      <c r="B143" s="195">
        <v>142</v>
      </c>
      <c r="C143" s="195" t="s">
        <v>524</v>
      </c>
      <c r="D143" s="64">
        <v>33935</v>
      </c>
      <c r="E143" s="195" t="s">
        <v>373</v>
      </c>
      <c r="F143" s="71" t="s">
        <v>508</v>
      </c>
      <c r="G143" s="71" t="s">
        <v>369</v>
      </c>
      <c r="H143" s="71" t="s">
        <v>388</v>
      </c>
      <c r="I143" s="71" t="s">
        <v>384</v>
      </c>
    </row>
    <row r="144" spans="1:9" ht="87" x14ac:dyDescent="0.35">
      <c r="A144" s="195">
        <v>1</v>
      </c>
      <c r="B144" s="195">
        <v>143</v>
      </c>
      <c r="C144" s="195" t="s">
        <v>525</v>
      </c>
      <c r="D144" s="64">
        <v>2200</v>
      </c>
      <c r="E144" s="195" t="s">
        <v>373</v>
      </c>
      <c r="F144" s="71" t="s">
        <v>508</v>
      </c>
      <c r="G144" s="71" t="s">
        <v>369</v>
      </c>
      <c r="H144" s="71" t="s">
        <v>388</v>
      </c>
      <c r="I144" s="71" t="s">
        <v>386</v>
      </c>
    </row>
    <row r="145" spans="1:9" ht="87" x14ac:dyDescent="0.35">
      <c r="A145" s="195">
        <v>1</v>
      </c>
      <c r="B145" s="195">
        <v>144</v>
      </c>
      <c r="C145" s="195" t="s">
        <v>526</v>
      </c>
      <c r="D145" s="64">
        <v>63585</v>
      </c>
      <c r="E145" s="195" t="s">
        <v>366</v>
      </c>
      <c r="F145" s="71" t="s">
        <v>508</v>
      </c>
      <c r="G145" s="71" t="s">
        <v>369</v>
      </c>
      <c r="H145" s="71" t="s">
        <v>397</v>
      </c>
      <c r="I145" s="71" t="s">
        <v>364</v>
      </c>
    </row>
    <row r="146" spans="1:9" ht="87" x14ac:dyDescent="0.35">
      <c r="A146" s="195">
        <v>1</v>
      </c>
      <c r="B146" s="195">
        <v>145</v>
      </c>
      <c r="C146" s="195" t="s">
        <v>527</v>
      </c>
      <c r="D146" s="64">
        <v>27415</v>
      </c>
      <c r="E146" s="195" t="s">
        <v>373</v>
      </c>
      <c r="F146" s="71" t="s">
        <v>508</v>
      </c>
      <c r="G146" s="71" t="s">
        <v>369</v>
      </c>
      <c r="H146" s="71" t="s">
        <v>397</v>
      </c>
      <c r="I146" s="71" t="s">
        <v>374</v>
      </c>
    </row>
    <row r="147" spans="1:9" ht="87" x14ac:dyDescent="0.35">
      <c r="A147" s="195">
        <v>1</v>
      </c>
      <c r="B147" s="195">
        <v>146</v>
      </c>
      <c r="C147" s="195" t="s">
        <v>528</v>
      </c>
      <c r="D147" s="64">
        <v>16765</v>
      </c>
      <c r="E147" s="195" t="s">
        <v>373</v>
      </c>
      <c r="F147" s="71" t="s">
        <v>508</v>
      </c>
      <c r="G147" s="71" t="s">
        <v>369</v>
      </c>
      <c r="H147" s="71" t="s">
        <v>397</v>
      </c>
      <c r="I147" s="71" t="s">
        <v>376</v>
      </c>
    </row>
    <row r="148" spans="1:9" ht="87" x14ac:dyDescent="0.35">
      <c r="A148" s="195">
        <v>1</v>
      </c>
      <c r="B148" s="195">
        <v>147</v>
      </c>
      <c r="C148" s="195" t="s">
        <v>529</v>
      </c>
      <c r="D148" s="64">
        <v>4415</v>
      </c>
      <c r="E148" s="195" t="s">
        <v>373</v>
      </c>
      <c r="F148" s="71" t="s">
        <v>508</v>
      </c>
      <c r="G148" s="71" t="s">
        <v>369</v>
      </c>
      <c r="H148" s="71" t="s">
        <v>397</v>
      </c>
      <c r="I148" s="71" t="s">
        <v>378</v>
      </c>
    </row>
    <row r="149" spans="1:9" ht="87" x14ac:dyDescent="0.35">
      <c r="A149" s="195">
        <v>1</v>
      </c>
      <c r="B149" s="195">
        <v>148</v>
      </c>
      <c r="C149" s="195" t="s">
        <v>530</v>
      </c>
      <c r="D149" s="195">
        <v>145</v>
      </c>
      <c r="E149" s="195" t="s">
        <v>373</v>
      </c>
      <c r="F149" s="71" t="s">
        <v>508</v>
      </c>
      <c r="G149" s="71" t="s">
        <v>369</v>
      </c>
      <c r="H149" s="71" t="s">
        <v>397</v>
      </c>
      <c r="I149" s="71" t="s">
        <v>380</v>
      </c>
    </row>
    <row r="150" spans="1:9" ht="87" x14ac:dyDescent="0.35">
      <c r="A150" s="195">
        <v>1</v>
      </c>
      <c r="B150" s="195">
        <v>149</v>
      </c>
      <c r="C150" s="195" t="s">
        <v>531</v>
      </c>
      <c r="D150" s="195">
        <v>25</v>
      </c>
      <c r="E150" s="195" t="s">
        <v>373</v>
      </c>
      <c r="F150" s="71" t="s">
        <v>508</v>
      </c>
      <c r="G150" s="71" t="s">
        <v>369</v>
      </c>
      <c r="H150" s="71" t="s">
        <v>397</v>
      </c>
      <c r="I150" s="71" t="s">
        <v>382</v>
      </c>
    </row>
    <row r="151" spans="1:9" ht="87" x14ac:dyDescent="0.35">
      <c r="A151" s="195">
        <v>1</v>
      </c>
      <c r="B151" s="195">
        <v>150</v>
      </c>
      <c r="C151" s="195" t="s">
        <v>532</v>
      </c>
      <c r="D151" s="64">
        <v>13410</v>
      </c>
      <c r="E151" s="195" t="s">
        <v>373</v>
      </c>
      <c r="F151" s="71" t="s">
        <v>508</v>
      </c>
      <c r="G151" s="71" t="s">
        <v>369</v>
      </c>
      <c r="H151" s="71" t="s">
        <v>397</v>
      </c>
      <c r="I151" s="71" t="s">
        <v>384</v>
      </c>
    </row>
    <row r="152" spans="1:9" ht="87" x14ac:dyDescent="0.35">
      <c r="A152" s="195">
        <v>1</v>
      </c>
      <c r="B152" s="195">
        <v>151</v>
      </c>
      <c r="C152" s="195" t="s">
        <v>533</v>
      </c>
      <c r="D152" s="64">
        <v>1405</v>
      </c>
      <c r="E152" s="195" t="s">
        <v>373</v>
      </c>
      <c r="F152" s="71" t="s">
        <v>508</v>
      </c>
      <c r="G152" s="71" t="s">
        <v>369</v>
      </c>
      <c r="H152" s="71" t="s">
        <v>397</v>
      </c>
      <c r="I152" s="71" t="s">
        <v>386</v>
      </c>
    </row>
    <row r="153" spans="1:9" ht="87" x14ac:dyDescent="0.35">
      <c r="A153" s="195">
        <v>1</v>
      </c>
      <c r="B153" s="195">
        <v>152</v>
      </c>
      <c r="C153" s="195" t="s">
        <v>534</v>
      </c>
      <c r="D153" s="64">
        <v>15850</v>
      </c>
      <c r="E153" s="195" t="s">
        <v>366</v>
      </c>
      <c r="F153" s="71" t="s">
        <v>508</v>
      </c>
      <c r="G153" s="71" t="s">
        <v>369</v>
      </c>
      <c r="H153" s="71" t="s">
        <v>406</v>
      </c>
      <c r="I153" s="71" t="s">
        <v>364</v>
      </c>
    </row>
    <row r="154" spans="1:9" ht="87" x14ac:dyDescent="0.35">
      <c r="A154" s="195">
        <v>1</v>
      </c>
      <c r="B154" s="195">
        <v>153</v>
      </c>
      <c r="C154" s="195" t="s">
        <v>535</v>
      </c>
      <c r="D154" s="64">
        <v>9035</v>
      </c>
      <c r="E154" s="195" t="s">
        <v>373</v>
      </c>
      <c r="F154" s="71" t="s">
        <v>508</v>
      </c>
      <c r="G154" s="71" t="s">
        <v>369</v>
      </c>
      <c r="H154" s="71" t="s">
        <v>406</v>
      </c>
      <c r="I154" s="71" t="s">
        <v>374</v>
      </c>
    </row>
    <row r="155" spans="1:9" ht="87" x14ac:dyDescent="0.35">
      <c r="A155" s="195">
        <v>1</v>
      </c>
      <c r="B155" s="195">
        <v>154</v>
      </c>
      <c r="C155" s="195" t="s">
        <v>536</v>
      </c>
      <c r="D155" s="64">
        <v>2445</v>
      </c>
      <c r="E155" s="195" t="s">
        <v>373</v>
      </c>
      <c r="F155" s="71" t="s">
        <v>508</v>
      </c>
      <c r="G155" s="71" t="s">
        <v>369</v>
      </c>
      <c r="H155" s="71" t="s">
        <v>406</v>
      </c>
      <c r="I155" s="71" t="s">
        <v>376</v>
      </c>
    </row>
    <row r="156" spans="1:9" ht="87" x14ac:dyDescent="0.35">
      <c r="A156" s="195">
        <v>1</v>
      </c>
      <c r="B156" s="195">
        <v>155</v>
      </c>
      <c r="C156" s="195" t="s">
        <v>537</v>
      </c>
      <c r="D156" s="64">
        <v>1765</v>
      </c>
      <c r="E156" s="195" t="s">
        <v>373</v>
      </c>
      <c r="F156" s="71" t="s">
        <v>508</v>
      </c>
      <c r="G156" s="71" t="s">
        <v>369</v>
      </c>
      <c r="H156" s="71" t="s">
        <v>406</v>
      </c>
      <c r="I156" s="71" t="s">
        <v>378</v>
      </c>
    </row>
    <row r="157" spans="1:9" ht="87" x14ac:dyDescent="0.35">
      <c r="A157" s="195">
        <v>1</v>
      </c>
      <c r="B157" s="195">
        <v>156</v>
      </c>
      <c r="C157" s="195" t="s">
        <v>538</v>
      </c>
      <c r="D157" s="195">
        <v>0</v>
      </c>
      <c r="E157" s="195" t="s">
        <v>373</v>
      </c>
      <c r="F157" s="71" t="s">
        <v>508</v>
      </c>
      <c r="G157" s="71" t="s">
        <v>369</v>
      </c>
      <c r="H157" s="71" t="s">
        <v>406</v>
      </c>
      <c r="I157" s="71" t="s">
        <v>380</v>
      </c>
    </row>
    <row r="158" spans="1:9" ht="87" x14ac:dyDescent="0.35">
      <c r="A158" s="195">
        <v>1</v>
      </c>
      <c r="B158" s="195">
        <v>157</v>
      </c>
      <c r="C158" s="195" t="s">
        <v>539</v>
      </c>
      <c r="D158" s="195">
        <v>0</v>
      </c>
      <c r="E158" s="195" t="s">
        <v>373</v>
      </c>
      <c r="F158" s="71" t="s">
        <v>508</v>
      </c>
      <c r="G158" s="71" t="s">
        <v>369</v>
      </c>
      <c r="H158" s="71" t="s">
        <v>406</v>
      </c>
      <c r="I158" s="71" t="s">
        <v>382</v>
      </c>
    </row>
    <row r="159" spans="1:9" ht="87" x14ac:dyDescent="0.35">
      <c r="A159" s="195">
        <v>1</v>
      </c>
      <c r="B159" s="195">
        <v>158</v>
      </c>
      <c r="C159" s="195" t="s">
        <v>540</v>
      </c>
      <c r="D159" s="64">
        <v>2345</v>
      </c>
      <c r="E159" s="195" t="s">
        <v>373</v>
      </c>
      <c r="F159" s="71" t="s">
        <v>508</v>
      </c>
      <c r="G159" s="71" t="s">
        <v>369</v>
      </c>
      <c r="H159" s="71" t="s">
        <v>406</v>
      </c>
      <c r="I159" s="71" t="s">
        <v>384</v>
      </c>
    </row>
    <row r="160" spans="1:9" ht="87" x14ac:dyDescent="0.35">
      <c r="A160" s="195">
        <v>1</v>
      </c>
      <c r="B160" s="195">
        <v>159</v>
      </c>
      <c r="C160" s="195" t="s">
        <v>541</v>
      </c>
      <c r="D160" s="195">
        <v>260</v>
      </c>
      <c r="E160" s="195" t="s">
        <v>373</v>
      </c>
      <c r="F160" s="71" t="s">
        <v>508</v>
      </c>
      <c r="G160" s="71" t="s">
        <v>369</v>
      </c>
      <c r="H160" s="71" t="s">
        <v>406</v>
      </c>
      <c r="I160" s="71" t="s">
        <v>386</v>
      </c>
    </row>
    <row r="161" spans="1:9" ht="87" x14ac:dyDescent="0.35">
      <c r="A161" s="195">
        <v>1</v>
      </c>
      <c r="B161" s="195">
        <v>160</v>
      </c>
      <c r="C161" s="195" t="s">
        <v>542</v>
      </c>
      <c r="D161" s="64">
        <v>17100</v>
      </c>
      <c r="E161" s="195" t="s">
        <v>366</v>
      </c>
      <c r="F161" s="71" t="s">
        <v>508</v>
      </c>
      <c r="G161" s="71" t="s">
        <v>369</v>
      </c>
      <c r="H161" s="71" t="s">
        <v>415</v>
      </c>
      <c r="I161" s="71" t="s">
        <v>364</v>
      </c>
    </row>
    <row r="162" spans="1:9" ht="87" x14ac:dyDescent="0.35">
      <c r="A162" s="195">
        <v>1</v>
      </c>
      <c r="B162" s="195">
        <v>161</v>
      </c>
      <c r="C162" s="195" t="s">
        <v>543</v>
      </c>
      <c r="D162" s="64">
        <v>10260</v>
      </c>
      <c r="E162" s="195" t="s">
        <v>373</v>
      </c>
      <c r="F162" s="71" t="s">
        <v>508</v>
      </c>
      <c r="G162" s="71" t="s">
        <v>369</v>
      </c>
      <c r="H162" s="71" t="s">
        <v>415</v>
      </c>
      <c r="I162" s="71" t="s">
        <v>374</v>
      </c>
    </row>
    <row r="163" spans="1:9" ht="87" x14ac:dyDescent="0.35">
      <c r="A163" s="195">
        <v>1</v>
      </c>
      <c r="B163" s="195">
        <v>162</v>
      </c>
      <c r="C163" s="195" t="s">
        <v>544</v>
      </c>
      <c r="D163" s="64">
        <v>2245</v>
      </c>
      <c r="E163" s="195" t="s">
        <v>373</v>
      </c>
      <c r="F163" s="71" t="s">
        <v>508</v>
      </c>
      <c r="G163" s="71" t="s">
        <v>369</v>
      </c>
      <c r="H163" s="71" t="s">
        <v>415</v>
      </c>
      <c r="I163" s="71" t="s">
        <v>376</v>
      </c>
    </row>
    <row r="164" spans="1:9" ht="87" x14ac:dyDescent="0.35">
      <c r="A164" s="195">
        <v>1</v>
      </c>
      <c r="B164" s="195">
        <v>163</v>
      </c>
      <c r="C164" s="195" t="s">
        <v>545</v>
      </c>
      <c r="D164" s="64">
        <v>2070</v>
      </c>
      <c r="E164" s="195" t="s">
        <v>373</v>
      </c>
      <c r="F164" s="71" t="s">
        <v>508</v>
      </c>
      <c r="G164" s="71" t="s">
        <v>369</v>
      </c>
      <c r="H164" s="71" t="s">
        <v>415</v>
      </c>
      <c r="I164" s="71" t="s">
        <v>378</v>
      </c>
    </row>
    <row r="165" spans="1:9" ht="87" x14ac:dyDescent="0.35">
      <c r="A165" s="195">
        <v>1</v>
      </c>
      <c r="B165" s="195">
        <v>164</v>
      </c>
      <c r="C165" s="195" t="s">
        <v>546</v>
      </c>
      <c r="D165" s="195">
        <v>0</v>
      </c>
      <c r="E165" s="195" t="s">
        <v>373</v>
      </c>
      <c r="F165" s="71" t="s">
        <v>508</v>
      </c>
      <c r="G165" s="71" t="s">
        <v>369</v>
      </c>
      <c r="H165" s="71" t="s">
        <v>415</v>
      </c>
      <c r="I165" s="71" t="s">
        <v>380</v>
      </c>
    </row>
    <row r="166" spans="1:9" ht="87" x14ac:dyDescent="0.35">
      <c r="A166" s="195">
        <v>1</v>
      </c>
      <c r="B166" s="195">
        <v>165</v>
      </c>
      <c r="C166" s="195" t="s">
        <v>547</v>
      </c>
      <c r="D166" s="195">
        <v>0</v>
      </c>
      <c r="E166" s="195" t="s">
        <v>373</v>
      </c>
      <c r="F166" s="71" t="s">
        <v>508</v>
      </c>
      <c r="G166" s="71" t="s">
        <v>369</v>
      </c>
      <c r="H166" s="71" t="s">
        <v>415</v>
      </c>
      <c r="I166" s="71" t="s">
        <v>382</v>
      </c>
    </row>
    <row r="167" spans="1:9" ht="87" x14ac:dyDescent="0.35">
      <c r="A167" s="195">
        <v>1</v>
      </c>
      <c r="B167" s="195">
        <v>166</v>
      </c>
      <c r="C167" s="195" t="s">
        <v>548</v>
      </c>
      <c r="D167" s="64">
        <v>2265</v>
      </c>
      <c r="E167" s="195" t="s">
        <v>373</v>
      </c>
      <c r="F167" s="71" t="s">
        <v>508</v>
      </c>
      <c r="G167" s="71" t="s">
        <v>369</v>
      </c>
      <c r="H167" s="71" t="s">
        <v>415</v>
      </c>
      <c r="I167" s="71" t="s">
        <v>384</v>
      </c>
    </row>
    <row r="168" spans="1:9" ht="87" x14ac:dyDescent="0.35">
      <c r="A168" s="195">
        <v>1</v>
      </c>
      <c r="B168" s="195">
        <v>167</v>
      </c>
      <c r="C168" s="195" t="s">
        <v>549</v>
      </c>
      <c r="D168" s="195">
        <v>265</v>
      </c>
      <c r="E168" s="195" t="s">
        <v>373</v>
      </c>
      <c r="F168" s="71" t="s">
        <v>508</v>
      </c>
      <c r="G168" s="71" t="s">
        <v>369</v>
      </c>
      <c r="H168" s="71" t="s">
        <v>415</v>
      </c>
      <c r="I168" s="71" t="s">
        <v>386</v>
      </c>
    </row>
    <row r="169" spans="1:9" ht="29" x14ac:dyDescent="0.35">
      <c r="A169" s="195">
        <v>1</v>
      </c>
      <c r="B169" s="195">
        <v>168</v>
      </c>
      <c r="C169" s="195" t="s">
        <v>550</v>
      </c>
      <c r="D169" s="64">
        <v>397305</v>
      </c>
      <c r="E169" s="195" t="s">
        <v>366</v>
      </c>
      <c r="F169" s="71" t="s">
        <v>508</v>
      </c>
      <c r="G169" s="71" t="s">
        <v>424</v>
      </c>
      <c r="H169" s="71" t="s">
        <v>363</v>
      </c>
      <c r="I169" s="71" t="s">
        <v>364</v>
      </c>
    </row>
    <row r="170" spans="1:9" ht="29" x14ac:dyDescent="0.35">
      <c r="A170" s="195">
        <v>1</v>
      </c>
      <c r="B170" s="195">
        <v>169</v>
      </c>
      <c r="C170" s="195" t="s">
        <v>551</v>
      </c>
      <c r="D170" s="64">
        <v>29680</v>
      </c>
      <c r="E170" s="195" t="s">
        <v>366</v>
      </c>
      <c r="F170" s="71" t="s">
        <v>508</v>
      </c>
      <c r="G170" s="71" t="s">
        <v>424</v>
      </c>
      <c r="H170" s="71" t="s">
        <v>371</v>
      </c>
      <c r="I170" s="71" t="s">
        <v>364</v>
      </c>
    </row>
    <row r="171" spans="1:9" ht="29" x14ac:dyDescent="0.35">
      <c r="A171" s="195">
        <v>1</v>
      </c>
      <c r="B171" s="195">
        <v>170</v>
      </c>
      <c r="C171" s="195" t="s">
        <v>552</v>
      </c>
      <c r="D171" s="64">
        <v>7580</v>
      </c>
      <c r="E171" s="195" t="s">
        <v>373</v>
      </c>
      <c r="F171" s="71" t="s">
        <v>508</v>
      </c>
      <c r="G171" s="71" t="s">
        <v>424</v>
      </c>
      <c r="H171" s="71" t="s">
        <v>371</v>
      </c>
      <c r="I171" s="71" t="s">
        <v>374</v>
      </c>
    </row>
    <row r="172" spans="1:9" ht="29" x14ac:dyDescent="0.35">
      <c r="A172" s="195">
        <v>1</v>
      </c>
      <c r="B172" s="195">
        <v>171</v>
      </c>
      <c r="C172" s="195" t="s">
        <v>553</v>
      </c>
      <c r="D172" s="64">
        <v>15175</v>
      </c>
      <c r="E172" s="195" t="s">
        <v>373</v>
      </c>
      <c r="F172" s="71" t="s">
        <v>508</v>
      </c>
      <c r="G172" s="71" t="s">
        <v>424</v>
      </c>
      <c r="H172" s="71" t="s">
        <v>371</v>
      </c>
      <c r="I172" s="71" t="s">
        <v>376</v>
      </c>
    </row>
    <row r="173" spans="1:9" ht="29" x14ac:dyDescent="0.35">
      <c r="A173" s="195">
        <v>1</v>
      </c>
      <c r="B173" s="195">
        <v>172</v>
      </c>
      <c r="C173" s="195" t="s">
        <v>554</v>
      </c>
      <c r="D173" s="64">
        <v>2405</v>
      </c>
      <c r="E173" s="195" t="s">
        <v>373</v>
      </c>
      <c r="F173" s="71" t="s">
        <v>508</v>
      </c>
      <c r="G173" s="71" t="s">
        <v>424</v>
      </c>
      <c r="H173" s="71" t="s">
        <v>371</v>
      </c>
      <c r="I173" s="71" t="s">
        <v>378</v>
      </c>
    </row>
    <row r="174" spans="1:9" ht="29" x14ac:dyDescent="0.35">
      <c r="A174" s="195">
        <v>1</v>
      </c>
      <c r="B174" s="195">
        <v>173</v>
      </c>
      <c r="C174" s="195" t="s">
        <v>555</v>
      </c>
      <c r="D174" s="195">
        <v>30</v>
      </c>
      <c r="E174" s="195" t="s">
        <v>373</v>
      </c>
      <c r="F174" s="71" t="s">
        <v>508</v>
      </c>
      <c r="G174" s="71" t="s">
        <v>424</v>
      </c>
      <c r="H174" s="71" t="s">
        <v>371</v>
      </c>
      <c r="I174" s="71" t="s">
        <v>380</v>
      </c>
    </row>
    <row r="175" spans="1:9" ht="29" x14ac:dyDescent="0.35">
      <c r="A175" s="195">
        <v>1</v>
      </c>
      <c r="B175" s="195">
        <v>174</v>
      </c>
      <c r="C175" s="195" t="s">
        <v>556</v>
      </c>
      <c r="D175" s="195">
        <v>10</v>
      </c>
      <c r="E175" s="195" t="s">
        <v>373</v>
      </c>
      <c r="F175" s="71" t="s">
        <v>508</v>
      </c>
      <c r="G175" s="71" t="s">
        <v>424</v>
      </c>
      <c r="H175" s="71" t="s">
        <v>371</v>
      </c>
      <c r="I175" s="71" t="s">
        <v>382</v>
      </c>
    </row>
    <row r="176" spans="1:9" ht="29" x14ac:dyDescent="0.35">
      <c r="A176" s="195">
        <v>1</v>
      </c>
      <c r="B176" s="195">
        <v>175</v>
      </c>
      <c r="C176" s="195" t="s">
        <v>557</v>
      </c>
      <c r="D176" s="64">
        <v>3930</v>
      </c>
      <c r="E176" s="195" t="s">
        <v>373</v>
      </c>
      <c r="F176" s="71" t="s">
        <v>508</v>
      </c>
      <c r="G176" s="71" t="s">
        <v>424</v>
      </c>
      <c r="H176" s="71" t="s">
        <v>371</v>
      </c>
      <c r="I176" s="71" t="s">
        <v>384</v>
      </c>
    </row>
    <row r="177" spans="1:9" ht="29" x14ac:dyDescent="0.35">
      <c r="A177" s="195">
        <v>1</v>
      </c>
      <c r="B177" s="195">
        <v>176</v>
      </c>
      <c r="C177" s="195" t="s">
        <v>558</v>
      </c>
      <c r="D177" s="195">
        <v>550</v>
      </c>
      <c r="E177" s="195" t="s">
        <v>373</v>
      </c>
      <c r="F177" s="71" t="s">
        <v>508</v>
      </c>
      <c r="G177" s="71" t="s">
        <v>424</v>
      </c>
      <c r="H177" s="71" t="s">
        <v>371</v>
      </c>
      <c r="I177" s="71" t="s">
        <v>386</v>
      </c>
    </row>
    <row r="178" spans="1:9" ht="43.5" x14ac:dyDescent="0.35">
      <c r="A178" s="195">
        <v>1</v>
      </c>
      <c r="B178" s="195">
        <v>177</v>
      </c>
      <c r="C178" s="195" t="s">
        <v>559</v>
      </c>
      <c r="D178" s="64">
        <v>28805</v>
      </c>
      <c r="E178" s="195" t="s">
        <v>366</v>
      </c>
      <c r="F178" s="71" t="s">
        <v>508</v>
      </c>
      <c r="G178" s="71" t="s">
        <v>424</v>
      </c>
      <c r="H178" s="71" t="s">
        <v>388</v>
      </c>
      <c r="I178" s="71" t="s">
        <v>364</v>
      </c>
    </row>
    <row r="179" spans="1:9" ht="43.5" x14ac:dyDescent="0.35">
      <c r="A179" s="195">
        <v>1</v>
      </c>
      <c r="B179" s="195">
        <v>178</v>
      </c>
      <c r="C179" s="195" t="s">
        <v>560</v>
      </c>
      <c r="D179" s="64">
        <v>6050</v>
      </c>
      <c r="E179" s="195" t="s">
        <v>373</v>
      </c>
      <c r="F179" s="71" t="s">
        <v>508</v>
      </c>
      <c r="G179" s="71" t="s">
        <v>424</v>
      </c>
      <c r="H179" s="71" t="s">
        <v>388</v>
      </c>
      <c r="I179" s="71" t="s">
        <v>374</v>
      </c>
    </row>
    <row r="180" spans="1:9" ht="43.5" x14ac:dyDescent="0.35">
      <c r="A180" s="195">
        <v>1</v>
      </c>
      <c r="B180" s="195">
        <v>179</v>
      </c>
      <c r="C180" s="195" t="s">
        <v>561</v>
      </c>
      <c r="D180" s="64">
        <v>11200</v>
      </c>
      <c r="E180" s="195" t="s">
        <v>373</v>
      </c>
      <c r="F180" s="71" t="s">
        <v>508</v>
      </c>
      <c r="G180" s="71" t="s">
        <v>424</v>
      </c>
      <c r="H180" s="71" t="s">
        <v>388</v>
      </c>
      <c r="I180" s="71" t="s">
        <v>376</v>
      </c>
    </row>
    <row r="181" spans="1:9" ht="43.5" x14ac:dyDescent="0.35">
      <c r="A181" s="195">
        <v>1</v>
      </c>
      <c r="B181" s="195">
        <v>180</v>
      </c>
      <c r="C181" s="195" t="s">
        <v>562</v>
      </c>
      <c r="D181" s="64">
        <v>1125</v>
      </c>
      <c r="E181" s="195" t="s">
        <v>373</v>
      </c>
      <c r="F181" s="71" t="s">
        <v>508</v>
      </c>
      <c r="G181" s="71" t="s">
        <v>424</v>
      </c>
      <c r="H181" s="71" t="s">
        <v>388</v>
      </c>
      <c r="I181" s="71" t="s">
        <v>378</v>
      </c>
    </row>
    <row r="182" spans="1:9" ht="43.5" x14ac:dyDescent="0.35">
      <c r="A182" s="195">
        <v>1</v>
      </c>
      <c r="B182" s="195">
        <v>181</v>
      </c>
      <c r="C182" s="195" t="s">
        <v>563</v>
      </c>
      <c r="D182" s="195">
        <v>45</v>
      </c>
      <c r="E182" s="195" t="s">
        <v>373</v>
      </c>
      <c r="F182" s="71" t="s">
        <v>508</v>
      </c>
      <c r="G182" s="71" t="s">
        <v>424</v>
      </c>
      <c r="H182" s="71" t="s">
        <v>388</v>
      </c>
      <c r="I182" s="71" t="s">
        <v>380</v>
      </c>
    </row>
    <row r="183" spans="1:9" ht="43.5" x14ac:dyDescent="0.35">
      <c r="A183" s="195">
        <v>1</v>
      </c>
      <c r="B183" s="195">
        <v>182</v>
      </c>
      <c r="C183" s="195" t="s">
        <v>564</v>
      </c>
      <c r="D183" s="195">
        <v>0</v>
      </c>
      <c r="E183" s="195" t="s">
        <v>373</v>
      </c>
      <c r="F183" s="71" t="s">
        <v>508</v>
      </c>
      <c r="G183" s="71" t="s">
        <v>424</v>
      </c>
      <c r="H183" s="71" t="s">
        <v>388</v>
      </c>
      <c r="I183" s="71" t="s">
        <v>382</v>
      </c>
    </row>
    <row r="184" spans="1:9" ht="43.5" x14ac:dyDescent="0.35">
      <c r="A184" s="195">
        <v>1</v>
      </c>
      <c r="B184" s="195">
        <v>183</v>
      </c>
      <c r="C184" s="195" t="s">
        <v>565</v>
      </c>
      <c r="D184" s="64">
        <v>9980</v>
      </c>
      <c r="E184" s="195" t="s">
        <v>373</v>
      </c>
      <c r="F184" s="71" t="s">
        <v>508</v>
      </c>
      <c r="G184" s="71" t="s">
        <v>424</v>
      </c>
      <c r="H184" s="71" t="s">
        <v>388</v>
      </c>
      <c r="I184" s="71" t="s">
        <v>384</v>
      </c>
    </row>
    <row r="185" spans="1:9" ht="43.5" x14ac:dyDescent="0.35">
      <c r="A185" s="195">
        <v>1</v>
      </c>
      <c r="B185" s="195">
        <v>184</v>
      </c>
      <c r="C185" s="195" t="s">
        <v>566</v>
      </c>
      <c r="D185" s="195">
        <v>400</v>
      </c>
      <c r="E185" s="195" t="s">
        <v>373</v>
      </c>
      <c r="F185" s="71" t="s">
        <v>508</v>
      </c>
      <c r="G185" s="71" t="s">
        <v>424</v>
      </c>
      <c r="H185" s="71" t="s">
        <v>388</v>
      </c>
      <c r="I185" s="71" t="s">
        <v>386</v>
      </c>
    </row>
    <row r="186" spans="1:9" ht="43.5" x14ac:dyDescent="0.35">
      <c r="A186" s="195">
        <v>1</v>
      </c>
      <c r="B186" s="195">
        <v>185</v>
      </c>
      <c r="C186" s="195" t="s">
        <v>567</v>
      </c>
      <c r="D186" s="64">
        <v>89840</v>
      </c>
      <c r="E186" s="195" t="s">
        <v>366</v>
      </c>
      <c r="F186" s="71" t="s">
        <v>508</v>
      </c>
      <c r="G186" s="71" t="s">
        <v>424</v>
      </c>
      <c r="H186" s="71" t="s">
        <v>397</v>
      </c>
      <c r="I186" s="71" t="s">
        <v>364</v>
      </c>
    </row>
    <row r="187" spans="1:9" ht="43.5" x14ac:dyDescent="0.35">
      <c r="A187" s="195">
        <v>1</v>
      </c>
      <c r="B187" s="195">
        <v>186</v>
      </c>
      <c r="C187" s="195" t="s">
        <v>568</v>
      </c>
      <c r="D187" s="64">
        <v>27880</v>
      </c>
      <c r="E187" s="195" t="s">
        <v>373</v>
      </c>
      <c r="F187" s="71" t="s">
        <v>508</v>
      </c>
      <c r="G187" s="71" t="s">
        <v>424</v>
      </c>
      <c r="H187" s="71" t="s">
        <v>397</v>
      </c>
      <c r="I187" s="71" t="s">
        <v>374</v>
      </c>
    </row>
    <row r="188" spans="1:9" ht="43.5" x14ac:dyDescent="0.35">
      <c r="A188" s="195">
        <v>1</v>
      </c>
      <c r="B188" s="195">
        <v>187</v>
      </c>
      <c r="C188" s="195" t="s">
        <v>569</v>
      </c>
      <c r="D188" s="64">
        <v>30225</v>
      </c>
      <c r="E188" s="195" t="s">
        <v>373</v>
      </c>
      <c r="F188" s="71" t="s">
        <v>508</v>
      </c>
      <c r="G188" s="71" t="s">
        <v>424</v>
      </c>
      <c r="H188" s="71" t="s">
        <v>397</v>
      </c>
      <c r="I188" s="71" t="s">
        <v>376</v>
      </c>
    </row>
    <row r="189" spans="1:9" ht="43.5" x14ac:dyDescent="0.35">
      <c r="A189" s="195">
        <v>1</v>
      </c>
      <c r="B189" s="195">
        <v>188</v>
      </c>
      <c r="C189" s="195" t="s">
        <v>570</v>
      </c>
      <c r="D189" s="64">
        <v>3615</v>
      </c>
      <c r="E189" s="195" t="s">
        <v>373</v>
      </c>
      <c r="F189" s="71" t="s">
        <v>508</v>
      </c>
      <c r="G189" s="71" t="s">
        <v>424</v>
      </c>
      <c r="H189" s="71" t="s">
        <v>397</v>
      </c>
      <c r="I189" s="71" t="s">
        <v>378</v>
      </c>
    </row>
    <row r="190" spans="1:9" ht="43.5" x14ac:dyDescent="0.35">
      <c r="A190" s="195">
        <v>1</v>
      </c>
      <c r="B190" s="195">
        <v>189</v>
      </c>
      <c r="C190" s="195" t="s">
        <v>571</v>
      </c>
      <c r="D190" s="195">
        <v>370</v>
      </c>
      <c r="E190" s="195" t="s">
        <v>373</v>
      </c>
      <c r="F190" s="71" t="s">
        <v>508</v>
      </c>
      <c r="G190" s="71" t="s">
        <v>424</v>
      </c>
      <c r="H190" s="71" t="s">
        <v>397</v>
      </c>
      <c r="I190" s="71" t="s">
        <v>380</v>
      </c>
    </row>
    <row r="191" spans="1:9" ht="43.5" x14ac:dyDescent="0.35">
      <c r="A191" s="195">
        <v>1</v>
      </c>
      <c r="B191" s="195">
        <v>190</v>
      </c>
      <c r="C191" s="195" t="s">
        <v>572</v>
      </c>
      <c r="D191" s="195">
        <v>0</v>
      </c>
      <c r="E191" s="195" t="s">
        <v>373</v>
      </c>
      <c r="F191" s="71" t="s">
        <v>508</v>
      </c>
      <c r="G191" s="71" t="s">
        <v>424</v>
      </c>
      <c r="H191" s="71" t="s">
        <v>397</v>
      </c>
      <c r="I191" s="71" t="s">
        <v>382</v>
      </c>
    </row>
    <row r="192" spans="1:9" ht="43.5" x14ac:dyDescent="0.35">
      <c r="A192" s="195">
        <v>1</v>
      </c>
      <c r="B192" s="195">
        <v>191</v>
      </c>
      <c r="C192" s="195" t="s">
        <v>573</v>
      </c>
      <c r="D192" s="64">
        <v>26175</v>
      </c>
      <c r="E192" s="195" t="s">
        <v>373</v>
      </c>
      <c r="F192" s="71" t="s">
        <v>508</v>
      </c>
      <c r="G192" s="71" t="s">
        <v>424</v>
      </c>
      <c r="H192" s="71" t="s">
        <v>397</v>
      </c>
      <c r="I192" s="71" t="s">
        <v>384</v>
      </c>
    </row>
    <row r="193" spans="1:9" ht="43.5" x14ac:dyDescent="0.35">
      <c r="A193" s="195">
        <v>1</v>
      </c>
      <c r="B193" s="195">
        <v>192</v>
      </c>
      <c r="C193" s="195" t="s">
        <v>574</v>
      </c>
      <c r="D193" s="64">
        <v>1575</v>
      </c>
      <c r="E193" s="195" t="s">
        <v>373</v>
      </c>
      <c r="F193" s="71" t="s">
        <v>508</v>
      </c>
      <c r="G193" s="71" t="s">
        <v>424</v>
      </c>
      <c r="H193" s="71" t="s">
        <v>397</v>
      </c>
      <c r="I193" s="71" t="s">
        <v>386</v>
      </c>
    </row>
    <row r="194" spans="1:9" ht="43.5" x14ac:dyDescent="0.35">
      <c r="A194" s="195">
        <v>1</v>
      </c>
      <c r="B194" s="195">
        <v>193</v>
      </c>
      <c r="C194" s="195" t="s">
        <v>575</v>
      </c>
      <c r="D194" s="64">
        <v>57155</v>
      </c>
      <c r="E194" s="195" t="s">
        <v>366</v>
      </c>
      <c r="F194" s="71" t="s">
        <v>508</v>
      </c>
      <c r="G194" s="71" t="s">
        <v>424</v>
      </c>
      <c r="H194" s="71" t="s">
        <v>406</v>
      </c>
      <c r="I194" s="71" t="s">
        <v>364</v>
      </c>
    </row>
    <row r="195" spans="1:9" ht="43.5" x14ac:dyDescent="0.35">
      <c r="A195" s="195">
        <v>1</v>
      </c>
      <c r="B195" s="195">
        <v>194</v>
      </c>
      <c r="C195" s="195" t="s">
        <v>576</v>
      </c>
      <c r="D195" s="64">
        <v>24375</v>
      </c>
      <c r="E195" s="195" t="s">
        <v>373</v>
      </c>
      <c r="F195" s="71" t="s">
        <v>508</v>
      </c>
      <c r="G195" s="71" t="s">
        <v>424</v>
      </c>
      <c r="H195" s="71" t="s">
        <v>406</v>
      </c>
      <c r="I195" s="71" t="s">
        <v>374</v>
      </c>
    </row>
    <row r="196" spans="1:9" ht="43.5" x14ac:dyDescent="0.35">
      <c r="A196" s="195">
        <v>1</v>
      </c>
      <c r="B196" s="195">
        <v>195</v>
      </c>
      <c r="C196" s="195" t="s">
        <v>577</v>
      </c>
      <c r="D196" s="64">
        <v>15525</v>
      </c>
      <c r="E196" s="195" t="s">
        <v>373</v>
      </c>
      <c r="F196" s="71" t="s">
        <v>508</v>
      </c>
      <c r="G196" s="71" t="s">
        <v>424</v>
      </c>
      <c r="H196" s="71" t="s">
        <v>406</v>
      </c>
      <c r="I196" s="71" t="s">
        <v>376</v>
      </c>
    </row>
    <row r="197" spans="1:9" ht="43.5" x14ac:dyDescent="0.35">
      <c r="A197" s="195">
        <v>1</v>
      </c>
      <c r="B197" s="195">
        <v>196</v>
      </c>
      <c r="C197" s="195" t="s">
        <v>578</v>
      </c>
      <c r="D197" s="64">
        <v>3940</v>
      </c>
      <c r="E197" s="195" t="s">
        <v>373</v>
      </c>
      <c r="F197" s="71" t="s">
        <v>508</v>
      </c>
      <c r="G197" s="71" t="s">
        <v>424</v>
      </c>
      <c r="H197" s="71" t="s">
        <v>406</v>
      </c>
      <c r="I197" s="71" t="s">
        <v>378</v>
      </c>
    </row>
    <row r="198" spans="1:9" ht="43.5" x14ac:dyDescent="0.35">
      <c r="A198" s="195">
        <v>1</v>
      </c>
      <c r="B198" s="195">
        <v>197</v>
      </c>
      <c r="C198" s="195" t="s">
        <v>579</v>
      </c>
      <c r="D198" s="195">
        <v>0</v>
      </c>
      <c r="E198" s="195" t="s">
        <v>373</v>
      </c>
      <c r="F198" s="71" t="s">
        <v>508</v>
      </c>
      <c r="G198" s="71" t="s">
        <v>424</v>
      </c>
      <c r="H198" s="71" t="s">
        <v>406</v>
      </c>
      <c r="I198" s="71" t="s">
        <v>380</v>
      </c>
    </row>
    <row r="199" spans="1:9" ht="43.5" x14ac:dyDescent="0.35">
      <c r="A199" s="195">
        <v>1</v>
      </c>
      <c r="B199" s="195">
        <v>198</v>
      </c>
      <c r="C199" s="195" t="s">
        <v>580</v>
      </c>
      <c r="D199" s="195">
        <v>40</v>
      </c>
      <c r="E199" s="195" t="s">
        <v>373</v>
      </c>
      <c r="F199" s="71" t="s">
        <v>508</v>
      </c>
      <c r="G199" s="71" t="s">
        <v>424</v>
      </c>
      <c r="H199" s="71" t="s">
        <v>406</v>
      </c>
      <c r="I199" s="71" t="s">
        <v>382</v>
      </c>
    </row>
    <row r="200" spans="1:9" ht="43.5" x14ac:dyDescent="0.35">
      <c r="A200" s="195">
        <v>1</v>
      </c>
      <c r="B200" s="195">
        <v>199</v>
      </c>
      <c r="C200" s="195" t="s">
        <v>581</v>
      </c>
      <c r="D200" s="64">
        <v>12295</v>
      </c>
      <c r="E200" s="195" t="s">
        <v>373</v>
      </c>
      <c r="F200" s="71" t="s">
        <v>508</v>
      </c>
      <c r="G200" s="71" t="s">
        <v>424</v>
      </c>
      <c r="H200" s="71" t="s">
        <v>406</v>
      </c>
      <c r="I200" s="71" t="s">
        <v>384</v>
      </c>
    </row>
    <row r="201" spans="1:9" ht="43.5" x14ac:dyDescent="0.35">
      <c r="A201" s="195">
        <v>1</v>
      </c>
      <c r="B201" s="195">
        <v>200</v>
      </c>
      <c r="C201" s="195" t="s">
        <v>582</v>
      </c>
      <c r="D201" s="195">
        <v>985</v>
      </c>
      <c r="E201" s="195" t="s">
        <v>373</v>
      </c>
      <c r="F201" s="71" t="s">
        <v>508</v>
      </c>
      <c r="G201" s="71" t="s">
        <v>424</v>
      </c>
      <c r="H201" s="71" t="s">
        <v>406</v>
      </c>
      <c r="I201" s="71" t="s">
        <v>386</v>
      </c>
    </row>
    <row r="202" spans="1:9" ht="29" x14ac:dyDescent="0.35">
      <c r="A202" s="195">
        <v>1</v>
      </c>
      <c r="B202" s="195">
        <v>201</v>
      </c>
      <c r="C202" s="195" t="s">
        <v>583</v>
      </c>
      <c r="D202" s="64">
        <v>191820</v>
      </c>
      <c r="E202" s="195" t="s">
        <v>366</v>
      </c>
      <c r="F202" s="71" t="s">
        <v>508</v>
      </c>
      <c r="G202" s="71" t="s">
        <v>424</v>
      </c>
      <c r="H202" s="71" t="s">
        <v>415</v>
      </c>
      <c r="I202" s="71" t="s">
        <v>364</v>
      </c>
    </row>
    <row r="203" spans="1:9" ht="29" x14ac:dyDescent="0.35">
      <c r="A203" s="195">
        <v>1</v>
      </c>
      <c r="B203" s="195">
        <v>202</v>
      </c>
      <c r="C203" s="195" t="s">
        <v>584</v>
      </c>
      <c r="D203" s="64">
        <v>115380</v>
      </c>
      <c r="E203" s="195" t="s">
        <v>373</v>
      </c>
      <c r="F203" s="71" t="s">
        <v>508</v>
      </c>
      <c r="G203" s="71" t="s">
        <v>424</v>
      </c>
      <c r="H203" s="71" t="s">
        <v>415</v>
      </c>
      <c r="I203" s="71" t="s">
        <v>374</v>
      </c>
    </row>
    <row r="204" spans="1:9" ht="29" x14ac:dyDescent="0.35">
      <c r="A204" s="195">
        <v>1</v>
      </c>
      <c r="B204" s="195">
        <v>203</v>
      </c>
      <c r="C204" s="195" t="s">
        <v>585</v>
      </c>
      <c r="D204" s="64">
        <v>31810</v>
      </c>
      <c r="E204" s="195" t="s">
        <v>373</v>
      </c>
      <c r="F204" s="71" t="s">
        <v>508</v>
      </c>
      <c r="G204" s="71" t="s">
        <v>424</v>
      </c>
      <c r="H204" s="71" t="s">
        <v>415</v>
      </c>
      <c r="I204" s="71" t="s">
        <v>376</v>
      </c>
    </row>
    <row r="205" spans="1:9" ht="29" x14ac:dyDescent="0.35">
      <c r="A205" s="195">
        <v>1</v>
      </c>
      <c r="B205" s="195">
        <v>204</v>
      </c>
      <c r="C205" s="195" t="s">
        <v>586</v>
      </c>
      <c r="D205" s="64">
        <v>18750</v>
      </c>
      <c r="E205" s="195" t="s">
        <v>373</v>
      </c>
      <c r="F205" s="71" t="s">
        <v>508</v>
      </c>
      <c r="G205" s="71" t="s">
        <v>424</v>
      </c>
      <c r="H205" s="71" t="s">
        <v>415</v>
      </c>
      <c r="I205" s="71" t="s">
        <v>378</v>
      </c>
    </row>
    <row r="206" spans="1:9" ht="29" x14ac:dyDescent="0.35">
      <c r="A206" s="195">
        <v>1</v>
      </c>
      <c r="B206" s="195">
        <v>205</v>
      </c>
      <c r="C206" s="195" t="s">
        <v>587</v>
      </c>
      <c r="D206" s="195">
        <v>150</v>
      </c>
      <c r="E206" s="195" t="s">
        <v>373</v>
      </c>
      <c r="F206" s="71" t="s">
        <v>508</v>
      </c>
      <c r="G206" s="71" t="s">
        <v>424</v>
      </c>
      <c r="H206" s="71" t="s">
        <v>415</v>
      </c>
      <c r="I206" s="71" t="s">
        <v>380</v>
      </c>
    </row>
    <row r="207" spans="1:9" ht="29" x14ac:dyDescent="0.35">
      <c r="A207" s="195">
        <v>1</v>
      </c>
      <c r="B207" s="195">
        <v>206</v>
      </c>
      <c r="C207" s="195" t="s">
        <v>588</v>
      </c>
      <c r="D207" s="195">
        <v>65</v>
      </c>
      <c r="E207" s="195" t="s">
        <v>373</v>
      </c>
      <c r="F207" s="71" t="s">
        <v>508</v>
      </c>
      <c r="G207" s="71" t="s">
        <v>424</v>
      </c>
      <c r="H207" s="71" t="s">
        <v>415</v>
      </c>
      <c r="I207" s="71" t="s">
        <v>382</v>
      </c>
    </row>
    <row r="208" spans="1:9" ht="29" x14ac:dyDescent="0.35">
      <c r="A208" s="195">
        <v>1</v>
      </c>
      <c r="B208" s="195">
        <v>207</v>
      </c>
      <c r="C208" s="195" t="s">
        <v>589</v>
      </c>
      <c r="D208" s="64">
        <v>22065</v>
      </c>
      <c r="E208" s="195" t="s">
        <v>373</v>
      </c>
      <c r="F208" s="71" t="s">
        <v>508</v>
      </c>
      <c r="G208" s="71" t="s">
        <v>424</v>
      </c>
      <c r="H208" s="71" t="s">
        <v>415</v>
      </c>
      <c r="I208" s="71" t="s">
        <v>384</v>
      </c>
    </row>
    <row r="209" spans="1:9" ht="29" x14ac:dyDescent="0.35">
      <c r="A209" s="195">
        <v>1</v>
      </c>
      <c r="B209" s="195">
        <v>208</v>
      </c>
      <c r="C209" s="195" t="s">
        <v>590</v>
      </c>
      <c r="D209" s="64">
        <v>3600</v>
      </c>
      <c r="E209" s="195" t="s">
        <v>373</v>
      </c>
      <c r="F209" s="71" t="s">
        <v>508</v>
      </c>
      <c r="G209" s="71" t="s">
        <v>424</v>
      </c>
      <c r="H209" s="71" t="s">
        <v>415</v>
      </c>
      <c r="I209" s="71" t="s">
        <v>386</v>
      </c>
    </row>
    <row r="210" spans="1:9" ht="43.5" x14ac:dyDescent="0.35">
      <c r="A210" s="195">
        <v>1</v>
      </c>
      <c r="B210" s="195">
        <v>209</v>
      </c>
      <c r="C210" s="195" t="s">
        <v>591</v>
      </c>
      <c r="D210" s="64">
        <v>29870</v>
      </c>
      <c r="E210" s="195" t="s">
        <v>366</v>
      </c>
      <c r="F210" s="71" t="s">
        <v>508</v>
      </c>
      <c r="G210" s="71" t="s">
        <v>466</v>
      </c>
      <c r="H210" s="71" t="s">
        <v>363</v>
      </c>
      <c r="I210" s="71" t="s">
        <v>364</v>
      </c>
    </row>
    <row r="211" spans="1:9" ht="43.5" x14ac:dyDescent="0.35">
      <c r="A211" s="195">
        <v>1</v>
      </c>
      <c r="B211" s="195">
        <v>210</v>
      </c>
      <c r="C211" s="195" t="s">
        <v>592</v>
      </c>
      <c r="D211" s="64">
        <v>29870</v>
      </c>
      <c r="E211" s="195" t="s">
        <v>366</v>
      </c>
      <c r="F211" s="71" t="s">
        <v>508</v>
      </c>
      <c r="G211" s="71" t="s">
        <v>466</v>
      </c>
      <c r="H211" s="71" t="s">
        <v>371</v>
      </c>
      <c r="I211" s="71" t="s">
        <v>364</v>
      </c>
    </row>
    <row r="212" spans="1:9" ht="43.5" x14ac:dyDescent="0.35">
      <c r="A212" s="195">
        <v>1</v>
      </c>
      <c r="B212" s="195">
        <v>211</v>
      </c>
      <c r="C212" s="195" t="s">
        <v>593</v>
      </c>
      <c r="D212" s="64">
        <v>6845</v>
      </c>
      <c r="E212" s="195" t="s">
        <v>373</v>
      </c>
      <c r="F212" s="71" t="s">
        <v>508</v>
      </c>
      <c r="G212" s="71" t="s">
        <v>466</v>
      </c>
      <c r="H212" s="71" t="s">
        <v>371</v>
      </c>
      <c r="I212" s="71" t="s">
        <v>374</v>
      </c>
    </row>
    <row r="213" spans="1:9" ht="43.5" x14ac:dyDescent="0.35">
      <c r="A213" s="195">
        <v>1</v>
      </c>
      <c r="B213" s="195">
        <v>212</v>
      </c>
      <c r="C213" s="195" t="s">
        <v>594</v>
      </c>
      <c r="D213" s="64">
        <v>16265</v>
      </c>
      <c r="E213" s="195" t="s">
        <v>373</v>
      </c>
      <c r="F213" s="71" t="s">
        <v>508</v>
      </c>
      <c r="G213" s="71" t="s">
        <v>466</v>
      </c>
      <c r="H213" s="71" t="s">
        <v>371</v>
      </c>
      <c r="I213" s="71" t="s">
        <v>376</v>
      </c>
    </row>
    <row r="214" spans="1:9" ht="43.5" x14ac:dyDescent="0.35">
      <c r="A214" s="195">
        <v>1</v>
      </c>
      <c r="B214" s="195">
        <v>213</v>
      </c>
      <c r="C214" s="195" t="s">
        <v>595</v>
      </c>
      <c r="D214" s="64">
        <v>2790</v>
      </c>
      <c r="E214" s="195" t="s">
        <v>373</v>
      </c>
      <c r="F214" s="71" t="s">
        <v>508</v>
      </c>
      <c r="G214" s="71" t="s">
        <v>466</v>
      </c>
      <c r="H214" s="71" t="s">
        <v>371</v>
      </c>
      <c r="I214" s="71" t="s">
        <v>378</v>
      </c>
    </row>
    <row r="215" spans="1:9" ht="43.5" x14ac:dyDescent="0.35">
      <c r="A215" s="195">
        <v>1</v>
      </c>
      <c r="B215" s="195">
        <v>214</v>
      </c>
      <c r="C215" s="195" t="s">
        <v>596</v>
      </c>
      <c r="D215" s="195">
        <v>60</v>
      </c>
      <c r="E215" s="195" t="s">
        <v>373</v>
      </c>
      <c r="F215" s="71" t="s">
        <v>508</v>
      </c>
      <c r="G215" s="71" t="s">
        <v>466</v>
      </c>
      <c r="H215" s="71" t="s">
        <v>371</v>
      </c>
      <c r="I215" s="71" t="s">
        <v>380</v>
      </c>
    </row>
    <row r="216" spans="1:9" ht="43.5" x14ac:dyDescent="0.35">
      <c r="A216" s="195">
        <v>1</v>
      </c>
      <c r="B216" s="195">
        <v>215</v>
      </c>
      <c r="C216" s="195" t="s">
        <v>597</v>
      </c>
      <c r="D216" s="195">
        <v>10</v>
      </c>
      <c r="E216" s="195" t="s">
        <v>373</v>
      </c>
      <c r="F216" s="71" t="s">
        <v>508</v>
      </c>
      <c r="G216" s="71" t="s">
        <v>466</v>
      </c>
      <c r="H216" s="71" t="s">
        <v>371</v>
      </c>
      <c r="I216" s="71" t="s">
        <v>382</v>
      </c>
    </row>
    <row r="217" spans="1:9" ht="43.5" x14ac:dyDescent="0.35">
      <c r="A217" s="195">
        <v>1</v>
      </c>
      <c r="B217" s="195">
        <v>216</v>
      </c>
      <c r="C217" s="195" t="s">
        <v>598</v>
      </c>
      <c r="D217" s="64">
        <v>3340</v>
      </c>
      <c r="E217" s="195" t="s">
        <v>373</v>
      </c>
      <c r="F217" s="71" t="s">
        <v>508</v>
      </c>
      <c r="G217" s="71" t="s">
        <v>466</v>
      </c>
      <c r="H217" s="71" t="s">
        <v>371</v>
      </c>
      <c r="I217" s="71" t="s">
        <v>384</v>
      </c>
    </row>
    <row r="218" spans="1:9" ht="43.5" x14ac:dyDescent="0.35">
      <c r="A218" s="195">
        <v>1</v>
      </c>
      <c r="B218" s="195">
        <v>217</v>
      </c>
      <c r="C218" s="195" t="s">
        <v>599</v>
      </c>
      <c r="D218" s="195">
        <v>565</v>
      </c>
      <c r="E218" s="195" t="s">
        <v>373</v>
      </c>
      <c r="F218" s="71" t="s">
        <v>508</v>
      </c>
      <c r="G218" s="71" t="s">
        <v>466</v>
      </c>
      <c r="H218" s="71" t="s">
        <v>371</v>
      </c>
      <c r="I218" s="71" t="s">
        <v>386</v>
      </c>
    </row>
    <row r="219" spans="1:9" ht="43.5" x14ac:dyDescent="0.35">
      <c r="A219" s="195">
        <v>1</v>
      </c>
      <c r="B219" s="195">
        <v>218</v>
      </c>
      <c r="C219" s="195" t="s">
        <v>600</v>
      </c>
      <c r="D219" s="195">
        <v>0</v>
      </c>
      <c r="E219" s="195" t="s">
        <v>366</v>
      </c>
      <c r="F219" s="71" t="s">
        <v>508</v>
      </c>
      <c r="G219" s="71" t="s">
        <v>466</v>
      </c>
      <c r="H219" s="71" t="s">
        <v>388</v>
      </c>
      <c r="I219" s="71" t="s">
        <v>364</v>
      </c>
    </row>
    <row r="220" spans="1:9" ht="43.5" x14ac:dyDescent="0.35">
      <c r="A220" s="195">
        <v>1</v>
      </c>
      <c r="B220" s="195">
        <v>219</v>
      </c>
      <c r="C220" s="195" t="s">
        <v>601</v>
      </c>
      <c r="D220" s="195">
        <v>0</v>
      </c>
      <c r="E220" s="195" t="s">
        <v>373</v>
      </c>
      <c r="F220" s="71" t="s">
        <v>508</v>
      </c>
      <c r="G220" s="71" t="s">
        <v>466</v>
      </c>
      <c r="H220" s="71" t="s">
        <v>388</v>
      </c>
      <c r="I220" s="71" t="s">
        <v>374</v>
      </c>
    </row>
    <row r="221" spans="1:9" ht="43.5" x14ac:dyDescent="0.35">
      <c r="A221" s="195">
        <v>1</v>
      </c>
      <c r="B221" s="195">
        <v>220</v>
      </c>
      <c r="C221" s="195" t="s">
        <v>602</v>
      </c>
      <c r="D221" s="195">
        <v>0</v>
      </c>
      <c r="E221" s="195" t="s">
        <v>373</v>
      </c>
      <c r="F221" s="71" t="s">
        <v>508</v>
      </c>
      <c r="G221" s="71" t="s">
        <v>466</v>
      </c>
      <c r="H221" s="71" t="s">
        <v>388</v>
      </c>
      <c r="I221" s="71" t="s">
        <v>376</v>
      </c>
    </row>
    <row r="222" spans="1:9" ht="43.5" x14ac:dyDescent="0.35">
      <c r="A222" s="195">
        <v>1</v>
      </c>
      <c r="B222" s="195">
        <v>221</v>
      </c>
      <c r="C222" s="195" t="s">
        <v>603</v>
      </c>
      <c r="D222" s="195">
        <v>0</v>
      </c>
      <c r="E222" s="195" t="s">
        <v>373</v>
      </c>
      <c r="F222" s="71" t="s">
        <v>508</v>
      </c>
      <c r="G222" s="71" t="s">
        <v>466</v>
      </c>
      <c r="H222" s="71" t="s">
        <v>388</v>
      </c>
      <c r="I222" s="71" t="s">
        <v>378</v>
      </c>
    </row>
    <row r="223" spans="1:9" ht="43.5" x14ac:dyDescent="0.35">
      <c r="A223" s="195">
        <v>1</v>
      </c>
      <c r="B223" s="195">
        <v>222</v>
      </c>
      <c r="C223" s="195" t="s">
        <v>604</v>
      </c>
      <c r="D223" s="195">
        <v>0</v>
      </c>
      <c r="E223" s="195" t="s">
        <v>373</v>
      </c>
      <c r="F223" s="71" t="s">
        <v>508</v>
      </c>
      <c r="G223" s="71" t="s">
        <v>466</v>
      </c>
      <c r="H223" s="71" t="s">
        <v>388</v>
      </c>
      <c r="I223" s="71" t="s">
        <v>380</v>
      </c>
    </row>
    <row r="224" spans="1:9" ht="43.5" x14ac:dyDescent="0.35">
      <c r="A224" s="195">
        <v>1</v>
      </c>
      <c r="B224" s="195">
        <v>223</v>
      </c>
      <c r="C224" s="195" t="s">
        <v>605</v>
      </c>
      <c r="D224" s="195">
        <v>0</v>
      </c>
      <c r="E224" s="195" t="s">
        <v>373</v>
      </c>
      <c r="F224" s="71" t="s">
        <v>508</v>
      </c>
      <c r="G224" s="71" t="s">
        <v>466</v>
      </c>
      <c r="H224" s="71" t="s">
        <v>388</v>
      </c>
      <c r="I224" s="71" t="s">
        <v>382</v>
      </c>
    </row>
    <row r="225" spans="1:9" ht="43.5" x14ac:dyDescent="0.35">
      <c r="A225" s="195">
        <v>1</v>
      </c>
      <c r="B225" s="195">
        <v>224</v>
      </c>
      <c r="C225" s="195" t="s">
        <v>606</v>
      </c>
      <c r="D225" s="195">
        <v>0</v>
      </c>
      <c r="E225" s="195" t="s">
        <v>373</v>
      </c>
      <c r="F225" s="71" t="s">
        <v>508</v>
      </c>
      <c r="G225" s="71" t="s">
        <v>466</v>
      </c>
      <c r="H225" s="71" t="s">
        <v>388</v>
      </c>
      <c r="I225" s="71" t="s">
        <v>384</v>
      </c>
    </row>
    <row r="226" spans="1:9" ht="43.5" x14ac:dyDescent="0.35">
      <c r="A226" s="195">
        <v>1</v>
      </c>
      <c r="B226" s="195">
        <v>225</v>
      </c>
      <c r="C226" s="195" t="s">
        <v>607</v>
      </c>
      <c r="D226" s="195">
        <v>0</v>
      </c>
      <c r="E226" s="195" t="s">
        <v>373</v>
      </c>
      <c r="F226" s="71" t="s">
        <v>508</v>
      </c>
      <c r="G226" s="71" t="s">
        <v>466</v>
      </c>
      <c r="H226" s="71" t="s">
        <v>388</v>
      </c>
      <c r="I226" s="71" t="s">
        <v>386</v>
      </c>
    </row>
    <row r="227" spans="1:9" ht="43.5" x14ac:dyDescent="0.35">
      <c r="A227" s="195">
        <v>1</v>
      </c>
      <c r="B227" s="195">
        <v>226</v>
      </c>
      <c r="C227" s="195" t="s">
        <v>608</v>
      </c>
      <c r="D227" s="195">
        <v>0</v>
      </c>
      <c r="E227" s="195" t="s">
        <v>366</v>
      </c>
      <c r="F227" s="71" t="s">
        <v>508</v>
      </c>
      <c r="G227" s="71" t="s">
        <v>466</v>
      </c>
      <c r="H227" s="71" t="s">
        <v>397</v>
      </c>
      <c r="I227" s="71" t="s">
        <v>364</v>
      </c>
    </row>
    <row r="228" spans="1:9" ht="43.5" x14ac:dyDescent="0.35">
      <c r="A228" s="195">
        <v>1</v>
      </c>
      <c r="B228" s="195">
        <v>227</v>
      </c>
      <c r="C228" s="195" t="s">
        <v>609</v>
      </c>
      <c r="D228" s="195">
        <v>0</v>
      </c>
      <c r="E228" s="195" t="s">
        <v>373</v>
      </c>
      <c r="F228" s="71" t="s">
        <v>508</v>
      </c>
      <c r="G228" s="71" t="s">
        <v>466</v>
      </c>
      <c r="H228" s="71" t="s">
        <v>397</v>
      </c>
      <c r="I228" s="71" t="s">
        <v>374</v>
      </c>
    </row>
    <row r="229" spans="1:9" ht="43.5" x14ac:dyDescent="0.35">
      <c r="A229" s="195">
        <v>1</v>
      </c>
      <c r="B229" s="195">
        <v>228</v>
      </c>
      <c r="C229" s="195" t="s">
        <v>610</v>
      </c>
      <c r="D229" s="195">
        <v>0</v>
      </c>
      <c r="E229" s="195" t="s">
        <v>373</v>
      </c>
      <c r="F229" s="71" t="s">
        <v>508</v>
      </c>
      <c r="G229" s="71" t="s">
        <v>466</v>
      </c>
      <c r="H229" s="71" t="s">
        <v>397</v>
      </c>
      <c r="I229" s="71" t="s">
        <v>376</v>
      </c>
    </row>
    <row r="230" spans="1:9" ht="43.5" x14ac:dyDescent="0.35">
      <c r="A230" s="195">
        <v>1</v>
      </c>
      <c r="B230" s="195">
        <v>229</v>
      </c>
      <c r="C230" s="195" t="s">
        <v>611</v>
      </c>
      <c r="D230" s="195">
        <v>0</v>
      </c>
      <c r="E230" s="195" t="s">
        <v>373</v>
      </c>
      <c r="F230" s="71" t="s">
        <v>508</v>
      </c>
      <c r="G230" s="71" t="s">
        <v>466</v>
      </c>
      <c r="H230" s="71" t="s">
        <v>397</v>
      </c>
      <c r="I230" s="71" t="s">
        <v>378</v>
      </c>
    </row>
    <row r="231" spans="1:9" ht="43.5" x14ac:dyDescent="0.35">
      <c r="A231" s="195">
        <v>1</v>
      </c>
      <c r="B231" s="195">
        <v>230</v>
      </c>
      <c r="C231" s="195" t="s">
        <v>612</v>
      </c>
      <c r="D231" s="195">
        <v>0</v>
      </c>
      <c r="E231" s="195" t="s">
        <v>373</v>
      </c>
      <c r="F231" s="71" t="s">
        <v>508</v>
      </c>
      <c r="G231" s="71" t="s">
        <v>466</v>
      </c>
      <c r="H231" s="71" t="s">
        <v>397</v>
      </c>
      <c r="I231" s="71" t="s">
        <v>380</v>
      </c>
    </row>
    <row r="232" spans="1:9" ht="43.5" x14ac:dyDescent="0.35">
      <c r="A232" s="195">
        <v>1</v>
      </c>
      <c r="B232" s="195">
        <v>231</v>
      </c>
      <c r="C232" s="195" t="s">
        <v>613</v>
      </c>
      <c r="D232" s="195">
        <v>0</v>
      </c>
      <c r="E232" s="195" t="s">
        <v>373</v>
      </c>
      <c r="F232" s="71" t="s">
        <v>508</v>
      </c>
      <c r="G232" s="71" t="s">
        <v>466</v>
      </c>
      <c r="H232" s="71" t="s">
        <v>397</v>
      </c>
      <c r="I232" s="71" t="s">
        <v>382</v>
      </c>
    </row>
    <row r="233" spans="1:9" ht="43.5" x14ac:dyDescent="0.35">
      <c r="A233" s="195">
        <v>1</v>
      </c>
      <c r="B233" s="195">
        <v>232</v>
      </c>
      <c r="C233" s="195" t="s">
        <v>614</v>
      </c>
      <c r="D233" s="195">
        <v>0</v>
      </c>
      <c r="E233" s="195" t="s">
        <v>373</v>
      </c>
      <c r="F233" s="71" t="s">
        <v>508</v>
      </c>
      <c r="G233" s="71" t="s">
        <v>466</v>
      </c>
      <c r="H233" s="71" t="s">
        <v>397</v>
      </c>
      <c r="I233" s="71" t="s">
        <v>384</v>
      </c>
    </row>
    <row r="234" spans="1:9" ht="43.5" x14ac:dyDescent="0.35">
      <c r="A234" s="195">
        <v>1</v>
      </c>
      <c r="B234" s="195">
        <v>233</v>
      </c>
      <c r="C234" s="195" t="s">
        <v>615</v>
      </c>
      <c r="D234" s="195">
        <v>0</v>
      </c>
      <c r="E234" s="195" t="s">
        <v>373</v>
      </c>
      <c r="F234" s="71" t="s">
        <v>508</v>
      </c>
      <c r="G234" s="71" t="s">
        <v>466</v>
      </c>
      <c r="H234" s="71" t="s">
        <v>397</v>
      </c>
      <c r="I234" s="71" t="s">
        <v>386</v>
      </c>
    </row>
    <row r="235" spans="1:9" ht="43.5" x14ac:dyDescent="0.35">
      <c r="A235" s="195">
        <v>1</v>
      </c>
      <c r="B235" s="195">
        <v>234</v>
      </c>
      <c r="C235" s="195" t="s">
        <v>616</v>
      </c>
      <c r="D235" s="195">
        <v>0</v>
      </c>
      <c r="E235" s="195" t="s">
        <v>366</v>
      </c>
      <c r="F235" s="71" t="s">
        <v>508</v>
      </c>
      <c r="G235" s="71" t="s">
        <v>466</v>
      </c>
      <c r="H235" s="71" t="s">
        <v>406</v>
      </c>
      <c r="I235" s="71" t="s">
        <v>364</v>
      </c>
    </row>
    <row r="236" spans="1:9" ht="43.5" x14ac:dyDescent="0.35">
      <c r="A236" s="195">
        <v>1</v>
      </c>
      <c r="B236" s="195">
        <v>235</v>
      </c>
      <c r="C236" s="195" t="s">
        <v>617</v>
      </c>
      <c r="D236" s="195">
        <v>0</v>
      </c>
      <c r="E236" s="195" t="s">
        <v>373</v>
      </c>
      <c r="F236" s="71" t="s">
        <v>508</v>
      </c>
      <c r="G236" s="71" t="s">
        <v>466</v>
      </c>
      <c r="H236" s="71" t="s">
        <v>406</v>
      </c>
      <c r="I236" s="71" t="s">
        <v>374</v>
      </c>
    </row>
    <row r="237" spans="1:9" ht="43.5" x14ac:dyDescent="0.35">
      <c r="A237" s="195">
        <v>1</v>
      </c>
      <c r="B237" s="195">
        <v>236</v>
      </c>
      <c r="C237" s="195" t="s">
        <v>618</v>
      </c>
      <c r="D237" s="195">
        <v>0</v>
      </c>
      <c r="E237" s="195" t="s">
        <v>373</v>
      </c>
      <c r="F237" s="71" t="s">
        <v>508</v>
      </c>
      <c r="G237" s="71" t="s">
        <v>466</v>
      </c>
      <c r="H237" s="71" t="s">
        <v>406</v>
      </c>
      <c r="I237" s="71" t="s">
        <v>376</v>
      </c>
    </row>
    <row r="238" spans="1:9" ht="43.5" x14ac:dyDescent="0.35">
      <c r="A238" s="195">
        <v>1</v>
      </c>
      <c r="B238" s="195">
        <v>237</v>
      </c>
      <c r="C238" s="195" t="s">
        <v>619</v>
      </c>
      <c r="D238" s="195">
        <v>0</v>
      </c>
      <c r="E238" s="195" t="s">
        <v>373</v>
      </c>
      <c r="F238" s="71" t="s">
        <v>508</v>
      </c>
      <c r="G238" s="71" t="s">
        <v>466</v>
      </c>
      <c r="H238" s="71" t="s">
        <v>406</v>
      </c>
      <c r="I238" s="71" t="s">
        <v>378</v>
      </c>
    </row>
    <row r="239" spans="1:9" ht="43.5" x14ac:dyDescent="0.35">
      <c r="A239" s="195">
        <v>1</v>
      </c>
      <c r="B239" s="195">
        <v>238</v>
      </c>
      <c r="C239" s="195" t="s">
        <v>620</v>
      </c>
      <c r="D239" s="195">
        <v>0</v>
      </c>
      <c r="E239" s="195" t="s">
        <v>373</v>
      </c>
      <c r="F239" s="71" t="s">
        <v>508</v>
      </c>
      <c r="G239" s="71" t="s">
        <v>466</v>
      </c>
      <c r="H239" s="71" t="s">
        <v>406</v>
      </c>
      <c r="I239" s="71" t="s">
        <v>380</v>
      </c>
    </row>
    <row r="240" spans="1:9" ht="43.5" x14ac:dyDescent="0.35">
      <c r="A240" s="195">
        <v>1</v>
      </c>
      <c r="B240" s="195">
        <v>239</v>
      </c>
      <c r="C240" s="195" t="s">
        <v>621</v>
      </c>
      <c r="D240" s="195">
        <v>0</v>
      </c>
      <c r="E240" s="195" t="s">
        <v>373</v>
      </c>
      <c r="F240" s="71" t="s">
        <v>508</v>
      </c>
      <c r="G240" s="71" t="s">
        <v>466</v>
      </c>
      <c r="H240" s="71" t="s">
        <v>406</v>
      </c>
      <c r="I240" s="71" t="s">
        <v>382</v>
      </c>
    </row>
    <row r="241" spans="1:9" ht="43.5" x14ac:dyDescent="0.35">
      <c r="A241" s="195">
        <v>1</v>
      </c>
      <c r="B241" s="195">
        <v>240</v>
      </c>
      <c r="C241" s="195" t="s">
        <v>622</v>
      </c>
      <c r="D241" s="195">
        <v>0</v>
      </c>
      <c r="E241" s="195" t="s">
        <v>373</v>
      </c>
      <c r="F241" s="71" t="s">
        <v>508</v>
      </c>
      <c r="G241" s="71" t="s">
        <v>466</v>
      </c>
      <c r="H241" s="71" t="s">
        <v>406</v>
      </c>
      <c r="I241" s="71" t="s">
        <v>384</v>
      </c>
    </row>
    <row r="242" spans="1:9" ht="43.5" x14ac:dyDescent="0.35">
      <c r="A242" s="195">
        <v>1</v>
      </c>
      <c r="B242" s="195">
        <v>241</v>
      </c>
      <c r="C242" s="195" t="s">
        <v>623</v>
      </c>
      <c r="D242" s="195">
        <v>0</v>
      </c>
      <c r="E242" s="195" t="s">
        <v>373</v>
      </c>
      <c r="F242" s="71" t="s">
        <v>508</v>
      </c>
      <c r="G242" s="71" t="s">
        <v>466</v>
      </c>
      <c r="H242" s="71" t="s">
        <v>406</v>
      </c>
      <c r="I242" s="71" t="s">
        <v>386</v>
      </c>
    </row>
    <row r="243" spans="1:9" ht="43.5" x14ac:dyDescent="0.35">
      <c r="A243" s="195">
        <v>1</v>
      </c>
      <c r="B243" s="195">
        <v>242</v>
      </c>
      <c r="C243" s="195" t="s">
        <v>624</v>
      </c>
      <c r="D243" s="195">
        <v>0</v>
      </c>
      <c r="E243" s="195" t="s">
        <v>366</v>
      </c>
      <c r="F243" s="71" t="s">
        <v>508</v>
      </c>
      <c r="G243" s="71" t="s">
        <v>466</v>
      </c>
      <c r="H243" s="71" t="s">
        <v>415</v>
      </c>
      <c r="I243" s="71" t="s">
        <v>364</v>
      </c>
    </row>
    <row r="244" spans="1:9" ht="43.5" x14ac:dyDescent="0.35">
      <c r="A244" s="195">
        <v>1</v>
      </c>
      <c r="B244" s="195">
        <v>243</v>
      </c>
      <c r="C244" s="195" t="s">
        <v>625</v>
      </c>
      <c r="D244" s="195">
        <v>0</v>
      </c>
      <c r="E244" s="195" t="s">
        <v>373</v>
      </c>
      <c r="F244" s="71" t="s">
        <v>508</v>
      </c>
      <c r="G244" s="71" t="s">
        <v>466</v>
      </c>
      <c r="H244" s="71" t="s">
        <v>415</v>
      </c>
      <c r="I244" s="71" t="s">
        <v>374</v>
      </c>
    </row>
    <row r="245" spans="1:9" ht="43.5" x14ac:dyDescent="0.35">
      <c r="A245" s="195">
        <v>1</v>
      </c>
      <c r="B245" s="195">
        <v>244</v>
      </c>
      <c r="C245" s="195" t="s">
        <v>626</v>
      </c>
      <c r="D245" s="195">
        <v>0</v>
      </c>
      <c r="E245" s="195" t="s">
        <v>373</v>
      </c>
      <c r="F245" s="71" t="s">
        <v>508</v>
      </c>
      <c r="G245" s="71" t="s">
        <v>466</v>
      </c>
      <c r="H245" s="71" t="s">
        <v>415</v>
      </c>
      <c r="I245" s="71" t="s">
        <v>376</v>
      </c>
    </row>
    <row r="246" spans="1:9" ht="43.5" x14ac:dyDescent="0.35">
      <c r="A246" s="195">
        <v>1</v>
      </c>
      <c r="B246" s="195">
        <v>245</v>
      </c>
      <c r="C246" s="195" t="s">
        <v>627</v>
      </c>
      <c r="D246" s="195">
        <v>0</v>
      </c>
      <c r="E246" s="195" t="s">
        <v>373</v>
      </c>
      <c r="F246" s="71" t="s">
        <v>508</v>
      </c>
      <c r="G246" s="71" t="s">
        <v>466</v>
      </c>
      <c r="H246" s="71" t="s">
        <v>415</v>
      </c>
      <c r="I246" s="71" t="s">
        <v>378</v>
      </c>
    </row>
    <row r="247" spans="1:9" ht="43.5" x14ac:dyDescent="0.35">
      <c r="A247" s="195">
        <v>1</v>
      </c>
      <c r="B247" s="195">
        <v>246</v>
      </c>
      <c r="C247" s="195" t="s">
        <v>628</v>
      </c>
      <c r="D247" s="195">
        <v>0</v>
      </c>
      <c r="E247" s="195" t="s">
        <v>373</v>
      </c>
      <c r="F247" s="71" t="s">
        <v>508</v>
      </c>
      <c r="G247" s="71" t="s">
        <v>466</v>
      </c>
      <c r="H247" s="71" t="s">
        <v>415</v>
      </c>
      <c r="I247" s="71" t="s">
        <v>380</v>
      </c>
    </row>
    <row r="248" spans="1:9" ht="43.5" x14ac:dyDescent="0.35">
      <c r="A248" s="195">
        <v>1</v>
      </c>
      <c r="B248" s="195">
        <v>247</v>
      </c>
      <c r="C248" s="195" t="s">
        <v>629</v>
      </c>
      <c r="D248" s="195">
        <v>0</v>
      </c>
      <c r="E248" s="195" t="s">
        <v>373</v>
      </c>
      <c r="F248" s="71" t="s">
        <v>508</v>
      </c>
      <c r="G248" s="71" t="s">
        <v>466</v>
      </c>
      <c r="H248" s="71" t="s">
        <v>415</v>
      </c>
      <c r="I248" s="71" t="s">
        <v>382</v>
      </c>
    </row>
    <row r="249" spans="1:9" ht="43.5" x14ac:dyDescent="0.35">
      <c r="A249" s="195">
        <v>1</v>
      </c>
      <c r="B249" s="195">
        <v>248</v>
      </c>
      <c r="C249" s="195" t="s">
        <v>630</v>
      </c>
      <c r="D249" s="195">
        <v>0</v>
      </c>
      <c r="E249" s="195" t="s">
        <v>373</v>
      </c>
      <c r="F249" s="71" t="s">
        <v>508</v>
      </c>
      <c r="G249" s="71" t="s">
        <v>466</v>
      </c>
      <c r="H249" s="71" t="s">
        <v>415</v>
      </c>
      <c r="I249" s="71" t="s">
        <v>384</v>
      </c>
    </row>
    <row r="250" spans="1:9" ht="43.5" x14ac:dyDescent="0.35">
      <c r="A250" s="195">
        <v>1</v>
      </c>
      <c r="B250" s="195">
        <v>249</v>
      </c>
      <c r="C250" s="195" t="s">
        <v>631</v>
      </c>
      <c r="D250" s="195">
        <v>0</v>
      </c>
      <c r="E250" s="195" t="s">
        <v>373</v>
      </c>
      <c r="F250" s="71" t="s">
        <v>508</v>
      </c>
      <c r="G250" s="71" t="s">
        <v>466</v>
      </c>
      <c r="H250" s="71" t="s">
        <v>415</v>
      </c>
      <c r="I250" s="71" t="s">
        <v>386</v>
      </c>
    </row>
    <row r="251" spans="1:9" ht="29" x14ac:dyDescent="0.35">
      <c r="A251" s="195">
        <v>2</v>
      </c>
      <c r="B251" s="195">
        <v>1</v>
      </c>
      <c r="C251" s="195" t="s">
        <v>632</v>
      </c>
      <c r="D251" s="64">
        <v>1951605</v>
      </c>
      <c r="E251" s="195" t="s">
        <v>26</v>
      </c>
      <c r="F251" s="71" t="s">
        <v>361</v>
      </c>
      <c r="G251" s="71" t="s">
        <v>633</v>
      </c>
      <c r="H251" s="71" t="s">
        <v>363</v>
      </c>
      <c r="I251" s="71" t="s">
        <v>364</v>
      </c>
    </row>
    <row r="252" spans="1:9" x14ac:dyDescent="0.35">
      <c r="A252" s="195">
        <v>2</v>
      </c>
      <c r="B252" s="195">
        <v>2</v>
      </c>
      <c r="C252" s="195" t="s">
        <v>634</v>
      </c>
      <c r="D252" s="64">
        <v>1105170</v>
      </c>
      <c r="E252" s="195" t="s">
        <v>366</v>
      </c>
      <c r="F252" s="71" t="s">
        <v>367</v>
      </c>
      <c r="G252" s="71" t="s">
        <v>633</v>
      </c>
      <c r="H252" s="71" t="s">
        <v>363</v>
      </c>
      <c r="I252" s="71" t="s">
        <v>364</v>
      </c>
    </row>
    <row r="253" spans="1:9" ht="87" x14ac:dyDescent="0.35">
      <c r="A253" s="195">
        <v>2</v>
      </c>
      <c r="B253" s="195">
        <v>3</v>
      </c>
      <c r="C253" s="195" t="s">
        <v>635</v>
      </c>
      <c r="D253" s="64">
        <v>178395</v>
      </c>
      <c r="E253" s="195" t="s">
        <v>366</v>
      </c>
      <c r="F253" s="71" t="s">
        <v>367</v>
      </c>
      <c r="G253" s="71" t="s">
        <v>636</v>
      </c>
      <c r="H253" s="71" t="s">
        <v>363</v>
      </c>
      <c r="I253" s="71" t="s">
        <v>364</v>
      </c>
    </row>
    <row r="254" spans="1:9" ht="87" x14ac:dyDescent="0.35">
      <c r="A254" s="195">
        <v>2</v>
      </c>
      <c r="B254" s="195">
        <v>4</v>
      </c>
      <c r="C254" s="195" t="s">
        <v>637</v>
      </c>
      <c r="D254" s="64">
        <v>70930</v>
      </c>
      <c r="E254" s="195" t="s">
        <v>366</v>
      </c>
      <c r="F254" s="71" t="s">
        <v>367</v>
      </c>
      <c r="G254" s="71" t="s">
        <v>636</v>
      </c>
      <c r="H254" s="71" t="s">
        <v>371</v>
      </c>
      <c r="I254" s="71" t="s">
        <v>364</v>
      </c>
    </row>
    <row r="255" spans="1:9" ht="87" x14ac:dyDescent="0.35">
      <c r="A255" s="195">
        <v>2</v>
      </c>
      <c r="B255" s="195">
        <v>5</v>
      </c>
      <c r="C255" s="195" t="s">
        <v>638</v>
      </c>
      <c r="D255" s="64">
        <v>35780</v>
      </c>
      <c r="E255" s="195" t="s">
        <v>373</v>
      </c>
      <c r="F255" s="71" t="s">
        <v>367</v>
      </c>
      <c r="G255" s="71" t="s">
        <v>636</v>
      </c>
      <c r="H255" s="71" t="s">
        <v>371</v>
      </c>
      <c r="I255" s="71" t="s">
        <v>374</v>
      </c>
    </row>
    <row r="256" spans="1:9" ht="87" x14ac:dyDescent="0.35">
      <c r="A256" s="195">
        <v>2</v>
      </c>
      <c r="B256" s="195">
        <v>6</v>
      </c>
      <c r="C256" s="195" t="s">
        <v>639</v>
      </c>
      <c r="D256" s="64">
        <v>18895</v>
      </c>
      <c r="E256" s="195" t="s">
        <v>373</v>
      </c>
      <c r="F256" s="71" t="s">
        <v>367</v>
      </c>
      <c r="G256" s="71" t="s">
        <v>636</v>
      </c>
      <c r="H256" s="71" t="s">
        <v>371</v>
      </c>
      <c r="I256" s="71" t="s">
        <v>376</v>
      </c>
    </row>
    <row r="257" spans="1:9" ht="87" x14ac:dyDescent="0.35">
      <c r="A257" s="195">
        <v>2</v>
      </c>
      <c r="B257" s="195">
        <v>7</v>
      </c>
      <c r="C257" s="195" t="s">
        <v>640</v>
      </c>
      <c r="D257" s="64">
        <v>3850</v>
      </c>
      <c r="E257" s="195" t="s">
        <v>373</v>
      </c>
      <c r="F257" s="71" t="s">
        <v>367</v>
      </c>
      <c r="G257" s="71" t="s">
        <v>636</v>
      </c>
      <c r="H257" s="71" t="s">
        <v>371</v>
      </c>
      <c r="I257" s="71" t="s">
        <v>378</v>
      </c>
    </row>
    <row r="258" spans="1:9" ht="87" x14ac:dyDescent="0.35">
      <c r="A258" s="195">
        <v>2</v>
      </c>
      <c r="B258" s="195">
        <v>8</v>
      </c>
      <c r="C258" s="195" t="s">
        <v>641</v>
      </c>
      <c r="D258" s="195">
        <v>135</v>
      </c>
      <c r="E258" s="195" t="s">
        <v>373</v>
      </c>
      <c r="F258" s="71" t="s">
        <v>367</v>
      </c>
      <c r="G258" s="71" t="s">
        <v>636</v>
      </c>
      <c r="H258" s="71" t="s">
        <v>371</v>
      </c>
      <c r="I258" s="71" t="s">
        <v>380</v>
      </c>
    </row>
    <row r="259" spans="1:9" ht="87" x14ac:dyDescent="0.35">
      <c r="A259" s="195">
        <v>2</v>
      </c>
      <c r="B259" s="195">
        <v>9</v>
      </c>
      <c r="C259" s="195" t="s">
        <v>642</v>
      </c>
      <c r="D259" s="195">
        <v>0</v>
      </c>
      <c r="E259" s="195" t="s">
        <v>373</v>
      </c>
      <c r="F259" s="71" t="s">
        <v>367</v>
      </c>
      <c r="G259" s="71" t="s">
        <v>636</v>
      </c>
      <c r="H259" s="71" t="s">
        <v>371</v>
      </c>
      <c r="I259" s="71" t="s">
        <v>382</v>
      </c>
    </row>
    <row r="260" spans="1:9" ht="87" x14ac:dyDescent="0.35">
      <c r="A260" s="195">
        <v>2</v>
      </c>
      <c r="B260" s="195">
        <v>10</v>
      </c>
      <c r="C260" s="195" t="s">
        <v>643</v>
      </c>
      <c r="D260" s="64">
        <v>11685</v>
      </c>
      <c r="E260" s="195" t="s">
        <v>373</v>
      </c>
      <c r="F260" s="71" t="s">
        <v>367</v>
      </c>
      <c r="G260" s="71" t="s">
        <v>636</v>
      </c>
      <c r="H260" s="71" t="s">
        <v>371</v>
      </c>
      <c r="I260" s="71" t="s">
        <v>384</v>
      </c>
    </row>
    <row r="261" spans="1:9" ht="87" x14ac:dyDescent="0.35">
      <c r="A261" s="195">
        <v>2</v>
      </c>
      <c r="B261" s="195">
        <v>11</v>
      </c>
      <c r="C261" s="195" t="s">
        <v>644</v>
      </c>
      <c r="D261" s="195">
        <v>590</v>
      </c>
      <c r="E261" s="195" t="s">
        <v>373</v>
      </c>
      <c r="F261" s="71" t="s">
        <v>367</v>
      </c>
      <c r="G261" s="71" t="s">
        <v>636</v>
      </c>
      <c r="H261" s="71" t="s">
        <v>371</v>
      </c>
      <c r="I261" s="71" t="s">
        <v>386</v>
      </c>
    </row>
    <row r="262" spans="1:9" ht="87" x14ac:dyDescent="0.35">
      <c r="A262" s="195">
        <v>2</v>
      </c>
      <c r="B262" s="195">
        <v>12</v>
      </c>
      <c r="C262" s="195" t="s">
        <v>645</v>
      </c>
      <c r="D262" s="64">
        <v>47500</v>
      </c>
      <c r="E262" s="195" t="s">
        <v>366</v>
      </c>
      <c r="F262" s="71" t="s">
        <v>367</v>
      </c>
      <c r="G262" s="71" t="s">
        <v>636</v>
      </c>
      <c r="H262" s="71" t="s">
        <v>388</v>
      </c>
      <c r="I262" s="71" t="s">
        <v>364</v>
      </c>
    </row>
    <row r="263" spans="1:9" ht="87" x14ac:dyDescent="0.35">
      <c r="A263" s="195">
        <v>2</v>
      </c>
      <c r="B263" s="195">
        <v>13</v>
      </c>
      <c r="C263" s="195" t="s">
        <v>646</v>
      </c>
      <c r="D263" s="64">
        <v>21700</v>
      </c>
      <c r="E263" s="195" t="s">
        <v>373</v>
      </c>
      <c r="F263" s="71" t="s">
        <v>367</v>
      </c>
      <c r="G263" s="71" t="s">
        <v>636</v>
      </c>
      <c r="H263" s="71" t="s">
        <v>388</v>
      </c>
      <c r="I263" s="71" t="s">
        <v>374</v>
      </c>
    </row>
    <row r="264" spans="1:9" ht="87" x14ac:dyDescent="0.35">
      <c r="A264" s="195">
        <v>2</v>
      </c>
      <c r="B264" s="195">
        <v>14</v>
      </c>
      <c r="C264" s="195" t="s">
        <v>647</v>
      </c>
      <c r="D264" s="64">
        <v>9785</v>
      </c>
      <c r="E264" s="195" t="s">
        <v>373</v>
      </c>
      <c r="F264" s="71" t="s">
        <v>367</v>
      </c>
      <c r="G264" s="71" t="s">
        <v>636</v>
      </c>
      <c r="H264" s="71" t="s">
        <v>388</v>
      </c>
      <c r="I264" s="71" t="s">
        <v>376</v>
      </c>
    </row>
    <row r="265" spans="1:9" ht="87" x14ac:dyDescent="0.35">
      <c r="A265" s="195">
        <v>2</v>
      </c>
      <c r="B265" s="195">
        <v>15</v>
      </c>
      <c r="C265" s="195" t="s">
        <v>648</v>
      </c>
      <c r="D265" s="64">
        <v>2755</v>
      </c>
      <c r="E265" s="195" t="s">
        <v>373</v>
      </c>
      <c r="F265" s="71" t="s">
        <v>367</v>
      </c>
      <c r="G265" s="71" t="s">
        <v>636</v>
      </c>
      <c r="H265" s="71" t="s">
        <v>388</v>
      </c>
      <c r="I265" s="71" t="s">
        <v>378</v>
      </c>
    </row>
    <row r="266" spans="1:9" ht="87" x14ac:dyDescent="0.35">
      <c r="A266" s="195">
        <v>2</v>
      </c>
      <c r="B266" s="195">
        <v>16</v>
      </c>
      <c r="C266" s="195" t="s">
        <v>649</v>
      </c>
      <c r="D266" s="195">
        <v>10</v>
      </c>
      <c r="E266" s="195" t="s">
        <v>373</v>
      </c>
      <c r="F266" s="71" t="s">
        <v>367</v>
      </c>
      <c r="G266" s="71" t="s">
        <v>636</v>
      </c>
      <c r="H266" s="71" t="s">
        <v>388</v>
      </c>
      <c r="I266" s="71" t="s">
        <v>380</v>
      </c>
    </row>
    <row r="267" spans="1:9" ht="87" x14ac:dyDescent="0.35">
      <c r="A267" s="195">
        <v>2</v>
      </c>
      <c r="B267" s="195">
        <v>17</v>
      </c>
      <c r="C267" s="195" t="s">
        <v>650</v>
      </c>
      <c r="D267" s="195">
        <v>10</v>
      </c>
      <c r="E267" s="195" t="s">
        <v>373</v>
      </c>
      <c r="F267" s="71" t="s">
        <v>367</v>
      </c>
      <c r="G267" s="71" t="s">
        <v>636</v>
      </c>
      <c r="H267" s="71" t="s">
        <v>388</v>
      </c>
      <c r="I267" s="71" t="s">
        <v>382</v>
      </c>
    </row>
    <row r="268" spans="1:9" ht="87" x14ac:dyDescent="0.35">
      <c r="A268" s="195">
        <v>2</v>
      </c>
      <c r="B268" s="195">
        <v>18</v>
      </c>
      <c r="C268" s="195" t="s">
        <v>651</v>
      </c>
      <c r="D268" s="64">
        <v>12895</v>
      </c>
      <c r="E268" s="195" t="s">
        <v>373</v>
      </c>
      <c r="F268" s="71" t="s">
        <v>367</v>
      </c>
      <c r="G268" s="71" t="s">
        <v>636</v>
      </c>
      <c r="H268" s="71" t="s">
        <v>388</v>
      </c>
      <c r="I268" s="71" t="s">
        <v>384</v>
      </c>
    </row>
    <row r="269" spans="1:9" ht="87" x14ac:dyDescent="0.35">
      <c r="A269" s="195">
        <v>2</v>
      </c>
      <c r="B269" s="195">
        <v>19</v>
      </c>
      <c r="C269" s="195" t="s">
        <v>652</v>
      </c>
      <c r="D269" s="195">
        <v>340</v>
      </c>
      <c r="E269" s="195" t="s">
        <v>373</v>
      </c>
      <c r="F269" s="71" t="s">
        <v>367</v>
      </c>
      <c r="G269" s="71" t="s">
        <v>636</v>
      </c>
      <c r="H269" s="71" t="s">
        <v>388</v>
      </c>
      <c r="I269" s="71" t="s">
        <v>386</v>
      </c>
    </row>
    <row r="270" spans="1:9" ht="87" x14ac:dyDescent="0.35">
      <c r="A270" s="195">
        <v>2</v>
      </c>
      <c r="B270" s="195">
        <v>20</v>
      </c>
      <c r="C270" s="195" t="s">
        <v>653</v>
      </c>
      <c r="D270" s="64">
        <v>33020</v>
      </c>
      <c r="E270" s="195" t="s">
        <v>366</v>
      </c>
      <c r="F270" s="71" t="s">
        <v>367</v>
      </c>
      <c r="G270" s="71" t="s">
        <v>636</v>
      </c>
      <c r="H270" s="71" t="s">
        <v>397</v>
      </c>
      <c r="I270" s="71" t="s">
        <v>364</v>
      </c>
    </row>
    <row r="271" spans="1:9" ht="87" x14ac:dyDescent="0.35">
      <c r="A271" s="195">
        <v>2</v>
      </c>
      <c r="B271" s="195">
        <v>21</v>
      </c>
      <c r="C271" s="195" t="s">
        <v>654</v>
      </c>
      <c r="D271" s="64">
        <v>16290</v>
      </c>
      <c r="E271" s="195" t="s">
        <v>373</v>
      </c>
      <c r="F271" s="71" t="s">
        <v>367</v>
      </c>
      <c r="G271" s="71" t="s">
        <v>636</v>
      </c>
      <c r="H271" s="71" t="s">
        <v>397</v>
      </c>
      <c r="I271" s="71" t="s">
        <v>374</v>
      </c>
    </row>
    <row r="272" spans="1:9" ht="87" x14ac:dyDescent="0.35">
      <c r="A272" s="195">
        <v>2</v>
      </c>
      <c r="B272" s="195">
        <v>22</v>
      </c>
      <c r="C272" s="195" t="s">
        <v>655</v>
      </c>
      <c r="D272" s="64">
        <v>5375</v>
      </c>
      <c r="E272" s="195" t="s">
        <v>373</v>
      </c>
      <c r="F272" s="71" t="s">
        <v>367</v>
      </c>
      <c r="G272" s="71" t="s">
        <v>636</v>
      </c>
      <c r="H272" s="71" t="s">
        <v>397</v>
      </c>
      <c r="I272" s="71" t="s">
        <v>376</v>
      </c>
    </row>
    <row r="273" spans="1:9" ht="87" x14ac:dyDescent="0.35">
      <c r="A273" s="195">
        <v>2</v>
      </c>
      <c r="B273" s="195">
        <v>23</v>
      </c>
      <c r="C273" s="195" t="s">
        <v>656</v>
      </c>
      <c r="D273" s="64">
        <v>2180</v>
      </c>
      <c r="E273" s="195" t="s">
        <v>373</v>
      </c>
      <c r="F273" s="71" t="s">
        <v>367</v>
      </c>
      <c r="G273" s="71" t="s">
        <v>636</v>
      </c>
      <c r="H273" s="71" t="s">
        <v>397</v>
      </c>
      <c r="I273" s="71" t="s">
        <v>378</v>
      </c>
    </row>
    <row r="274" spans="1:9" ht="87" x14ac:dyDescent="0.35">
      <c r="A274" s="195">
        <v>2</v>
      </c>
      <c r="B274" s="195">
        <v>24</v>
      </c>
      <c r="C274" s="195" t="s">
        <v>657</v>
      </c>
      <c r="D274" s="195">
        <v>4</v>
      </c>
      <c r="E274" s="195" t="s">
        <v>373</v>
      </c>
      <c r="F274" s="71" t="s">
        <v>367</v>
      </c>
      <c r="G274" s="71" t="s">
        <v>636</v>
      </c>
      <c r="H274" s="71" t="s">
        <v>397</v>
      </c>
      <c r="I274" s="71" t="s">
        <v>380</v>
      </c>
    </row>
    <row r="275" spans="1:9" ht="87" x14ac:dyDescent="0.35">
      <c r="A275" s="195">
        <v>2</v>
      </c>
      <c r="B275" s="195">
        <v>25</v>
      </c>
      <c r="C275" s="195" t="s">
        <v>658</v>
      </c>
      <c r="D275" s="195">
        <v>0</v>
      </c>
      <c r="E275" s="195" t="s">
        <v>373</v>
      </c>
      <c r="F275" s="71" t="s">
        <v>367</v>
      </c>
      <c r="G275" s="71" t="s">
        <v>636</v>
      </c>
      <c r="H275" s="71" t="s">
        <v>397</v>
      </c>
      <c r="I275" s="71" t="s">
        <v>382</v>
      </c>
    </row>
    <row r="276" spans="1:9" ht="87" x14ac:dyDescent="0.35">
      <c r="A276" s="195">
        <v>2</v>
      </c>
      <c r="B276" s="195">
        <v>26</v>
      </c>
      <c r="C276" s="195" t="s">
        <v>659</v>
      </c>
      <c r="D276" s="64">
        <v>8770</v>
      </c>
      <c r="E276" s="195" t="s">
        <v>373</v>
      </c>
      <c r="F276" s="71" t="s">
        <v>367</v>
      </c>
      <c r="G276" s="71" t="s">
        <v>636</v>
      </c>
      <c r="H276" s="71" t="s">
        <v>397</v>
      </c>
      <c r="I276" s="71" t="s">
        <v>384</v>
      </c>
    </row>
    <row r="277" spans="1:9" ht="87" x14ac:dyDescent="0.35">
      <c r="A277" s="195">
        <v>2</v>
      </c>
      <c r="B277" s="195">
        <v>27</v>
      </c>
      <c r="C277" s="195" t="s">
        <v>660</v>
      </c>
      <c r="D277" s="195">
        <v>400</v>
      </c>
      <c r="E277" s="195" t="s">
        <v>373</v>
      </c>
      <c r="F277" s="71" t="s">
        <v>367</v>
      </c>
      <c r="G277" s="71" t="s">
        <v>636</v>
      </c>
      <c r="H277" s="71" t="s">
        <v>397</v>
      </c>
      <c r="I277" s="71" t="s">
        <v>386</v>
      </c>
    </row>
    <row r="278" spans="1:9" ht="87" x14ac:dyDescent="0.35">
      <c r="A278" s="195">
        <v>2</v>
      </c>
      <c r="B278" s="195">
        <v>28</v>
      </c>
      <c r="C278" s="195" t="s">
        <v>661</v>
      </c>
      <c r="D278" s="64">
        <v>10475</v>
      </c>
      <c r="E278" s="195" t="s">
        <v>366</v>
      </c>
      <c r="F278" s="71" t="s">
        <v>367</v>
      </c>
      <c r="G278" s="71" t="s">
        <v>636</v>
      </c>
      <c r="H278" s="71" t="s">
        <v>406</v>
      </c>
      <c r="I278" s="71" t="s">
        <v>364</v>
      </c>
    </row>
    <row r="279" spans="1:9" ht="87" x14ac:dyDescent="0.35">
      <c r="A279" s="195">
        <v>2</v>
      </c>
      <c r="B279" s="195">
        <v>29</v>
      </c>
      <c r="C279" s="195" t="s">
        <v>662</v>
      </c>
      <c r="D279" s="64">
        <v>5515</v>
      </c>
      <c r="E279" s="195" t="s">
        <v>373</v>
      </c>
      <c r="F279" s="71" t="s">
        <v>367</v>
      </c>
      <c r="G279" s="71" t="s">
        <v>636</v>
      </c>
      <c r="H279" s="71" t="s">
        <v>406</v>
      </c>
      <c r="I279" s="71" t="s">
        <v>374</v>
      </c>
    </row>
    <row r="280" spans="1:9" ht="87" x14ac:dyDescent="0.35">
      <c r="A280" s="195">
        <v>2</v>
      </c>
      <c r="B280" s="195">
        <v>30</v>
      </c>
      <c r="C280" s="195" t="s">
        <v>663</v>
      </c>
      <c r="D280" s="64">
        <v>1345</v>
      </c>
      <c r="E280" s="195" t="s">
        <v>373</v>
      </c>
      <c r="F280" s="71" t="s">
        <v>367</v>
      </c>
      <c r="G280" s="71" t="s">
        <v>636</v>
      </c>
      <c r="H280" s="71" t="s">
        <v>406</v>
      </c>
      <c r="I280" s="71" t="s">
        <v>376</v>
      </c>
    </row>
    <row r="281" spans="1:9" ht="87" x14ac:dyDescent="0.35">
      <c r="A281" s="195">
        <v>2</v>
      </c>
      <c r="B281" s="195">
        <v>31</v>
      </c>
      <c r="C281" s="195" t="s">
        <v>664</v>
      </c>
      <c r="D281" s="195">
        <v>785</v>
      </c>
      <c r="E281" s="195" t="s">
        <v>373</v>
      </c>
      <c r="F281" s="71" t="s">
        <v>367</v>
      </c>
      <c r="G281" s="71" t="s">
        <v>636</v>
      </c>
      <c r="H281" s="71" t="s">
        <v>406</v>
      </c>
      <c r="I281" s="71" t="s">
        <v>378</v>
      </c>
    </row>
    <row r="282" spans="1:9" ht="87" x14ac:dyDescent="0.35">
      <c r="A282" s="195">
        <v>2</v>
      </c>
      <c r="B282" s="195">
        <v>32</v>
      </c>
      <c r="C282" s="195" t="s">
        <v>665</v>
      </c>
      <c r="D282" s="195">
        <v>0</v>
      </c>
      <c r="E282" s="195" t="s">
        <v>373</v>
      </c>
      <c r="F282" s="71" t="s">
        <v>367</v>
      </c>
      <c r="G282" s="71" t="s">
        <v>636</v>
      </c>
      <c r="H282" s="71" t="s">
        <v>406</v>
      </c>
      <c r="I282" s="71" t="s">
        <v>380</v>
      </c>
    </row>
    <row r="283" spans="1:9" ht="87" x14ac:dyDescent="0.35">
      <c r="A283" s="195">
        <v>2</v>
      </c>
      <c r="B283" s="195">
        <v>33</v>
      </c>
      <c r="C283" s="195" t="s">
        <v>666</v>
      </c>
      <c r="D283" s="195">
        <v>0</v>
      </c>
      <c r="E283" s="195" t="s">
        <v>373</v>
      </c>
      <c r="F283" s="71" t="s">
        <v>367</v>
      </c>
      <c r="G283" s="71" t="s">
        <v>636</v>
      </c>
      <c r="H283" s="71" t="s">
        <v>406</v>
      </c>
      <c r="I283" s="71" t="s">
        <v>382</v>
      </c>
    </row>
    <row r="284" spans="1:9" ht="87" x14ac:dyDescent="0.35">
      <c r="A284" s="195">
        <v>2</v>
      </c>
      <c r="B284" s="195">
        <v>34</v>
      </c>
      <c r="C284" s="195" t="s">
        <v>667</v>
      </c>
      <c r="D284" s="64">
        <v>2770</v>
      </c>
      <c r="E284" s="195" t="s">
        <v>373</v>
      </c>
      <c r="F284" s="71" t="s">
        <v>367</v>
      </c>
      <c r="G284" s="71" t="s">
        <v>636</v>
      </c>
      <c r="H284" s="71" t="s">
        <v>406</v>
      </c>
      <c r="I284" s="71" t="s">
        <v>384</v>
      </c>
    </row>
    <row r="285" spans="1:9" ht="87" x14ac:dyDescent="0.35">
      <c r="A285" s="195">
        <v>2</v>
      </c>
      <c r="B285" s="195">
        <v>35</v>
      </c>
      <c r="C285" s="195" t="s">
        <v>668</v>
      </c>
      <c r="D285" s="195">
        <v>60</v>
      </c>
      <c r="E285" s="195" t="s">
        <v>373</v>
      </c>
      <c r="F285" s="71" t="s">
        <v>367</v>
      </c>
      <c r="G285" s="71" t="s">
        <v>636</v>
      </c>
      <c r="H285" s="71" t="s">
        <v>406</v>
      </c>
      <c r="I285" s="71" t="s">
        <v>386</v>
      </c>
    </row>
    <row r="286" spans="1:9" ht="87" x14ac:dyDescent="0.35">
      <c r="A286" s="195">
        <v>2</v>
      </c>
      <c r="B286" s="195">
        <v>36</v>
      </c>
      <c r="C286" s="195" t="s">
        <v>669</v>
      </c>
      <c r="D286" s="64">
        <v>16470</v>
      </c>
      <c r="E286" s="195" t="s">
        <v>366</v>
      </c>
      <c r="F286" s="71" t="s">
        <v>367</v>
      </c>
      <c r="G286" s="71" t="s">
        <v>636</v>
      </c>
      <c r="H286" s="71" t="s">
        <v>415</v>
      </c>
      <c r="I286" s="71" t="s">
        <v>364</v>
      </c>
    </row>
    <row r="287" spans="1:9" ht="87" x14ac:dyDescent="0.35">
      <c r="A287" s="195">
        <v>2</v>
      </c>
      <c r="B287" s="195">
        <v>37</v>
      </c>
      <c r="C287" s="195" t="s">
        <v>670</v>
      </c>
      <c r="D287" s="64">
        <v>8540</v>
      </c>
      <c r="E287" s="195" t="s">
        <v>373</v>
      </c>
      <c r="F287" s="71" t="s">
        <v>367</v>
      </c>
      <c r="G287" s="71" t="s">
        <v>636</v>
      </c>
      <c r="H287" s="71" t="s">
        <v>415</v>
      </c>
      <c r="I287" s="71" t="s">
        <v>374</v>
      </c>
    </row>
    <row r="288" spans="1:9" ht="87" x14ac:dyDescent="0.35">
      <c r="A288" s="195">
        <v>2</v>
      </c>
      <c r="B288" s="195">
        <v>38</v>
      </c>
      <c r="C288" s="195" t="s">
        <v>671</v>
      </c>
      <c r="D288" s="64">
        <v>1695</v>
      </c>
      <c r="E288" s="195" t="s">
        <v>373</v>
      </c>
      <c r="F288" s="71" t="s">
        <v>367</v>
      </c>
      <c r="G288" s="71" t="s">
        <v>636</v>
      </c>
      <c r="H288" s="71" t="s">
        <v>415</v>
      </c>
      <c r="I288" s="71" t="s">
        <v>376</v>
      </c>
    </row>
    <row r="289" spans="1:9" ht="87" x14ac:dyDescent="0.35">
      <c r="A289" s="195">
        <v>2</v>
      </c>
      <c r="B289" s="195">
        <v>39</v>
      </c>
      <c r="C289" s="195" t="s">
        <v>672</v>
      </c>
      <c r="D289" s="64">
        <v>2170</v>
      </c>
      <c r="E289" s="195" t="s">
        <v>373</v>
      </c>
      <c r="F289" s="71" t="s">
        <v>367</v>
      </c>
      <c r="G289" s="71" t="s">
        <v>636</v>
      </c>
      <c r="H289" s="71" t="s">
        <v>415</v>
      </c>
      <c r="I289" s="71" t="s">
        <v>378</v>
      </c>
    </row>
    <row r="290" spans="1:9" ht="87" x14ac:dyDescent="0.35">
      <c r="A290" s="195">
        <v>2</v>
      </c>
      <c r="B290" s="195">
        <v>40</v>
      </c>
      <c r="C290" s="195" t="s">
        <v>673</v>
      </c>
      <c r="D290" s="195">
        <v>0</v>
      </c>
      <c r="E290" s="195" t="s">
        <v>373</v>
      </c>
      <c r="F290" s="71" t="s">
        <v>367</v>
      </c>
      <c r="G290" s="71" t="s">
        <v>636</v>
      </c>
      <c r="H290" s="71" t="s">
        <v>415</v>
      </c>
      <c r="I290" s="71" t="s">
        <v>380</v>
      </c>
    </row>
    <row r="291" spans="1:9" ht="87" x14ac:dyDescent="0.35">
      <c r="A291" s="195">
        <v>2</v>
      </c>
      <c r="B291" s="195">
        <v>41</v>
      </c>
      <c r="C291" s="195" t="s">
        <v>674</v>
      </c>
      <c r="D291" s="195">
        <v>0</v>
      </c>
      <c r="E291" s="195" t="s">
        <v>373</v>
      </c>
      <c r="F291" s="71" t="s">
        <v>367</v>
      </c>
      <c r="G291" s="71" t="s">
        <v>636</v>
      </c>
      <c r="H291" s="71" t="s">
        <v>415</v>
      </c>
      <c r="I291" s="71" t="s">
        <v>382</v>
      </c>
    </row>
    <row r="292" spans="1:9" ht="87" x14ac:dyDescent="0.35">
      <c r="A292" s="195">
        <v>2</v>
      </c>
      <c r="B292" s="195">
        <v>42</v>
      </c>
      <c r="C292" s="195" t="s">
        <v>675</v>
      </c>
      <c r="D292" s="64">
        <v>3975</v>
      </c>
      <c r="E292" s="195" t="s">
        <v>373</v>
      </c>
      <c r="F292" s="71" t="s">
        <v>367</v>
      </c>
      <c r="G292" s="71" t="s">
        <v>636</v>
      </c>
      <c r="H292" s="71" t="s">
        <v>415</v>
      </c>
      <c r="I292" s="71" t="s">
        <v>384</v>
      </c>
    </row>
    <row r="293" spans="1:9" ht="87" x14ac:dyDescent="0.35">
      <c r="A293" s="195">
        <v>2</v>
      </c>
      <c r="B293" s="195">
        <v>43</v>
      </c>
      <c r="C293" s="195" t="s">
        <v>676</v>
      </c>
      <c r="D293" s="195">
        <v>90</v>
      </c>
      <c r="E293" s="195" t="s">
        <v>373</v>
      </c>
      <c r="F293" s="71" t="s">
        <v>367</v>
      </c>
      <c r="G293" s="71" t="s">
        <v>636</v>
      </c>
      <c r="H293" s="71" t="s">
        <v>415</v>
      </c>
      <c r="I293" s="71" t="s">
        <v>386</v>
      </c>
    </row>
    <row r="294" spans="1:9" ht="43.5" x14ac:dyDescent="0.35">
      <c r="A294" s="195">
        <v>2</v>
      </c>
      <c r="B294" s="195">
        <v>44</v>
      </c>
      <c r="C294" s="195" t="s">
        <v>677</v>
      </c>
      <c r="D294" s="64">
        <v>916710</v>
      </c>
      <c r="E294" s="195" t="s">
        <v>366</v>
      </c>
      <c r="F294" s="71" t="s">
        <v>367</v>
      </c>
      <c r="G294" s="71" t="s">
        <v>678</v>
      </c>
      <c r="H294" s="71" t="s">
        <v>363</v>
      </c>
      <c r="I294" s="71" t="s">
        <v>364</v>
      </c>
    </row>
    <row r="295" spans="1:9" ht="43.5" x14ac:dyDescent="0.35">
      <c r="A295" s="195">
        <v>2</v>
      </c>
      <c r="B295" s="195">
        <v>45</v>
      </c>
      <c r="C295" s="195" t="s">
        <v>679</v>
      </c>
      <c r="D295" s="64">
        <v>22690</v>
      </c>
      <c r="E295" s="195" t="s">
        <v>366</v>
      </c>
      <c r="F295" s="71" t="s">
        <v>367</v>
      </c>
      <c r="G295" s="71" t="s">
        <v>678</v>
      </c>
      <c r="H295" s="71" t="s">
        <v>371</v>
      </c>
      <c r="I295" s="71" t="s">
        <v>364</v>
      </c>
    </row>
    <row r="296" spans="1:9" ht="43.5" x14ac:dyDescent="0.35">
      <c r="A296" s="195">
        <v>2</v>
      </c>
      <c r="B296" s="195">
        <v>46</v>
      </c>
      <c r="C296" s="195" t="s">
        <v>680</v>
      </c>
      <c r="D296" s="64">
        <v>12705</v>
      </c>
      <c r="E296" s="195" t="s">
        <v>373</v>
      </c>
      <c r="F296" s="71" t="s">
        <v>367</v>
      </c>
      <c r="G296" s="71" t="s">
        <v>678</v>
      </c>
      <c r="H296" s="71" t="s">
        <v>371</v>
      </c>
      <c r="I296" s="71" t="s">
        <v>374</v>
      </c>
    </row>
    <row r="297" spans="1:9" ht="43.5" x14ac:dyDescent="0.35">
      <c r="A297" s="195">
        <v>2</v>
      </c>
      <c r="B297" s="195">
        <v>47</v>
      </c>
      <c r="C297" s="195" t="s">
        <v>681</v>
      </c>
      <c r="D297" s="64">
        <v>5485</v>
      </c>
      <c r="E297" s="195" t="s">
        <v>373</v>
      </c>
      <c r="F297" s="71" t="s">
        <v>367</v>
      </c>
      <c r="G297" s="71" t="s">
        <v>678</v>
      </c>
      <c r="H297" s="71" t="s">
        <v>371</v>
      </c>
      <c r="I297" s="71" t="s">
        <v>376</v>
      </c>
    </row>
    <row r="298" spans="1:9" ht="43.5" x14ac:dyDescent="0.35">
      <c r="A298" s="195">
        <v>2</v>
      </c>
      <c r="B298" s="195">
        <v>48</v>
      </c>
      <c r="C298" s="195" t="s">
        <v>682</v>
      </c>
      <c r="D298" s="195">
        <v>860</v>
      </c>
      <c r="E298" s="195" t="s">
        <v>373</v>
      </c>
      <c r="F298" s="71" t="s">
        <v>367</v>
      </c>
      <c r="G298" s="71" t="s">
        <v>678</v>
      </c>
      <c r="H298" s="71" t="s">
        <v>371</v>
      </c>
      <c r="I298" s="71" t="s">
        <v>378</v>
      </c>
    </row>
    <row r="299" spans="1:9" ht="43.5" x14ac:dyDescent="0.35">
      <c r="A299" s="195">
        <v>2</v>
      </c>
      <c r="B299" s="195">
        <v>49</v>
      </c>
      <c r="C299" s="195" t="s">
        <v>683</v>
      </c>
      <c r="D299" s="195">
        <v>65</v>
      </c>
      <c r="E299" s="195" t="s">
        <v>373</v>
      </c>
      <c r="F299" s="71" t="s">
        <v>367</v>
      </c>
      <c r="G299" s="71" t="s">
        <v>678</v>
      </c>
      <c r="H299" s="71" t="s">
        <v>371</v>
      </c>
      <c r="I299" s="71" t="s">
        <v>380</v>
      </c>
    </row>
    <row r="300" spans="1:9" ht="43.5" x14ac:dyDescent="0.35">
      <c r="A300" s="195">
        <v>2</v>
      </c>
      <c r="B300" s="195">
        <v>50</v>
      </c>
      <c r="C300" s="195" t="s">
        <v>684</v>
      </c>
      <c r="D300" s="195">
        <v>10</v>
      </c>
      <c r="E300" s="195" t="s">
        <v>373</v>
      </c>
      <c r="F300" s="71" t="s">
        <v>367</v>
      </c>
      <c r="G300" s="71" t="s">
        <v>678</v>
      </c>
      <c r="H300" s="71" t="s">
        <v>371</v>
      </c>
      <c r="I300" s="71" t="s">
        <v>382</v>
      </c>
    </row>
    <row r="301" spans="1:9" ht="43.5" x14ac:dyDescent="0.35">
      <c r="A301" s="195">
        <v>2</v>
      </c>
      <c r="B301" s="195">
        <v>51</v>
      </c>
      <c r="C301" s="195" t="s">
        <v>685</v>
      </c>
      <c r="D301" s="64">
        <v>3350</v>
      </c>
      <c r="E301" s="195" t="s">
        <v>373</v>
      </c>
      <c r="F301" s="71" t="s">
        <v>367</v>
      </c>
      <c r="G301" s="71" t="s">
        <v>678</v>
      </c>
      <c r="H301" s="71" t="s">
        <v>371</v>
      </c>
      <c r="I301" s="71" t="s">
        <v>384</v>
      </c>
    </row>
    <row r="302" spans="1:9" ht="43.5" x14ac:dyDescent="0.35">
      <c r="A302" s="195">
        <v>2</v>
      </c>
      <c r="B302" s="195">
        <v>52</v>
      </c>
      <c r="C302" s="195" t="s">
        <v>686</v>
      </c>
      <c r="D302" s="195">
        <v>220</v>
      </c>
      <c r="E302" s="195" t="s">
        <v>373</v>
      </c>
      <c r="F302" s="71" t="s">
        <v>367</v>
      </c>
      <c r="G302" s="71" t="s">
        <v>678</v>
      </c>
      <c r="H302" s="71" t="s">
        <v>371</v>
      </c>
      <c r="I302" s="71" t="s">
        <v>386</v>
      </c>
    </row>
    <row r="303" spans="1:9" ht="43.5" x14ac:dyDescent="0.35">
      <c r="A303" s="195">
        <v>2</v>
      </c>
      <c r="B303" s="195">
        <v>53</v>
      </c>
      <c r="C303" s="195" t="s">
        <v>687</v>
      </c>
      <c r="D303" s="64">
        <v>70525</v>
      </c>
      <c r="E303" s="195" t="s">
        <v>366</v>
      </c>
      <c r="F303" s="71" t="s">
        <v>367</v>
      </c>
      <c r="G303" s="71" t="s">
        <v>678</v>
      </c>
      <c r="H303" s="71" t="s">
        <v>388</v>
      </c>
      <c r="I303" s="71" t="s">
        <v>364</v>
      </c>
    </row>
    <row r="304" spans="1:9" ht="43.5" x14ac:dyDescent="0.35">
      <c r="A304" s="195">
        <v>2</v>
      </c>
      <c r="B304" s="195">
        <v>54</v>
      </c>
      <c r="C304" s="195" t="s">
        <v>688</v>
      </c>
      <c r="D304" s="64">
        <v>40100</v>
      </c>
      <c r="E304" s="195" t="s">
        <v>373</v>
      </c>
      <c r="F304" s="71" t="s">
        <v>367</v>
      </c>
      <c r="G304" s="71" t="s">
        <v>678</v>
      </c>
      <c r="H304" s="71" t="s">
        <v>388</v>
      </c>
      <c r="I304" s="71" t="s">
        <v>374</v>
      </c>
    </row>
    <row r="305" spans="1:9" ht="43.5" x14ac:dyDescent="0.35">
      <c r="A305" s="195">
        <v>2</v>
      </c>
      <c r="B305" s="195">
        <v>55</v>
      </c>
      <c r="C305" s="195" t="s">
        <v>689</v>
      </c>
      <c r="D305" s="64">
        <v>14400</v>
      </c>
      <c r="E305" s="195" t="s">
        <v>373</v>
      </c>
      <c r="F305" s="71" t="s">
        <v>367</v>
      </c>
      <c r="G305" s="71" t="s">
        <v>678</v>
      </c>
      <c r="H305" s="71" t="s">
        <v>388</v>
      </c>
      <c r="I305" s="71" t="s">
        <v>376</v>
      </c>
    </row>
    <row r="306" spans="1:9" ht="43.5" x14ac:dyDescent="0.35">
      <c r="A306" s="195">
        <v>2</v>
      </c>
      <c r="B306" s="195">
        <v>56</v>
      </c>
      <c r="C306" s="195" t="s">
        <v>690</v>
      </c>
      <c r="D306" s="64">
        <v>2625</v>
      </c>
      <c r="E306" s="195" t="s">
        <v>373</v>
      </c>
      <c r="F306" s="71" t="s">
        <v>367</v>
      </c>
      <c r="G306" s="71" t="s">
        <v>678</v>
      </c>
      <c r="H306" s="71" t="s">
        <v>388</v>
      </c>
      <c r="I306" s="71" t="s">
        <v>378</v>
      </c>
    </row>
    <row r="307" spans="1:9" ht="43.5" x14ac:dyDescent="0.35">
      <c r="A307" s="195">
        <v>2</v>
      </c>
      <c r="B307" s="195">
        <v>57</v>
      </c>
      <c r="C307" s="195" t="s">
        <v>691</v>
      </c>
      <c r="D307" s="195">
        <v>55</v>
      </c>
      <c r="E307" s="195" t="s">
        <v>373</v>
      </c>
      <c r="F307" s="71" t="s">
        <v>367</v>
      </c>
      <c r="G307" s="71" t="s">
        <v>678</v>
      </c>
      <c r="H307" s="71" t="s">
        <v>388</v>
      </c>
      <c r="I307" s="71" t="s">
        <v>380</v>
      </c>
    </row>
    <row r="308" spans="1:9" ht="43.5" x14ac:dyDescent="0.35">
      <c r="A308" s="195">
        <v>2</v>
      </c>
      <c r="B308" s="195">
        <v>58</v>
      </c>
      <c r="C308" s="195" t="s">
        <v>692</v>
      </c>
      <c r="D308" s="195">
        <v>0</v>
      </c>
      <c r="E308" s="195" t="s">
        <v>373</v>
      </c>
      <c r="F308" s="71" t="s">
        <v>367</v>
      </c>
      <c r="G308" s="71" t="s">
        <v>678</v>
      </c>
      <c r="H308" s="71" t="s">
        <v>388</v>
      </c>
      <c r="I308" s="71" t="s">
        <v>382</v>
      </c>
    </row>
    <row r="309" spans="1:9" ht="43.5" x14ac:dyDescent="0.35">
      <c r="A309" s="195">
        <v>2</v>
      </c>
      <c r="B309" s="195">
        <v>59</v>
      </c>
      <c r="C309" s="195" t="s">
        <v>693</v>
      </c>
      <c r="D309" s="64">
        <v>12830</v>
      </c>
      <c r="E309" s="195" t="s">
        <v>373</v>
      </c>
      <c r="F309" s="71" t="s">
        <v>367</v>
      </c>
      <c r="G309" s="71" t="s">
        <v>678</v>
      </c>
      <c r="H309" s="71" t="s">
        <v>388</v>
      </c>
      <c r="I309" s="71" t="s">
        <v>384</v>
      </c>
    </row>
    <row r="310" spans="1:9" ht="43.5" x14ac:dyDescent="0.35">
      <c r="A310" s="195">
        <v>2</v>
      </c>
      <c r="B310" s="195">
        <v>60</v>
      </c>
      <c r="C310" s="195" t="s">
        <v>694</v>
      </c>
      <c r="D310" s="195">
        <v>515</v>
      </c>
      <c r="E310" s="195" t="s">
        <v>373</v>
      </c>
      <c r="F310" s="71" t="s">
        <v>367</v>
      </c>
      <c r="G310" s="71" t="s">
        <v>678</v>
      </c>
      <c r="H310" s="71" t="s">
        <v>388</v>
      </c>
      <c r="I310" s="71" t="s">
        <v>386</v>
      </c>
    </row>
    <row r="311" spans="1:9" ht="43.5" x14ac:dyDescent="0.35">
      <c r="A311" s="195">
        <v>2</v>
      </c>
      <c r="B311" s="195">
        <v>61</v>
      </c>
      <c r="C311" s="195" t="s">
        <v>695</v>
      </c>
      <c r="D311" s="64">
        <v>141095</v>
      </c>
      <c r="E311" s="195" t="s">
        <v>366</v>
      </c>
      <c r="F311" s="71" t="s">
        <v>367</v>
      </c>
      <c r="G311" s="71" t="s">
        <v>678</v>
      </c>
      <c r="H311" s="71" t="s">
        <v>397</v>
      </c>
      <c r="I311" s="71" t="s">
        <v>364</v>
      </c>
    </row>
    <row r="312" spans="1:9" ht="43.5" x14ac:dyDescent="0.35">
      <c r="A312" s="195">
        <v>2</v>
      </c>
      <c r="B312" s="195">
        <v>62</v>
      </c>
      <c r="C312" s="195" t="s">
        <v>696</v>
      </c>
      <c r="D312" s="64">
        <v>73785</v>
      </c>
      <c r="E312" s="195" t="s">
        <v>373</v>
      </c>
      <c r="F312" s="71" t="s">
        <v>367</v>
      </c>
      <c r="G312" s="71" t="s">
        <v>678</v>
      </c>
      <c r="H312" s="71" t="s">
        <v>397</v>
      </c>
      <c r="I312" s="71" t="s">
        <v>374</v>
      </c>
    </row>
    <row r="313" spans="1:9" ht="43.5" x14ac:dyDescent="0.35">
      <c r="A313" s="195">
        <v>2</v>
      </c>
      <c r="B313" s="195">
        <v>63</v>
      </c>
      <c r="C313" s="195" t="s">
        <v>697</v>
      </c>
      <c r="D313" s="64">
        <v>29830</v>
      </c>
      <c r="E313" s="195" t="s">
        <v>373</v>
      </c>
      <c r="F313" s="71" t="s">
        <v>367</v>
      </c>
      <c r="G313" s="71" t="s">
        <v>678</v>
      </c>
      <c r="H313" s="71" t="s">
        <v>397</v>
      </c>
      <c r="I313" s="71" t="s">
        <v>376</v>
      </c>
    </row>
    <row r="314" spans="1:9" ht="43.5" x14ac:dyDescent="0.35">
      <c r="A314" s="195">
        <v>2</v>
      </c>
      <c r="B314" s="195">
        <v>64</v>
      </c>
      <c r="C314" s="195" t="s">
        <v>698</v>
      </c>
      <c r="D314" s="64">
        <v>6255</v>
      </c>
      <c r="E314" s="195" t="s">
        <v>373</v>
      </c>
      <c r="F314" s="71" t="s">
        <v>367</v>
      </c>
      <c r="G314" s="71" t="s">
        <v>678</v>
      </c>
      <c r="H314" s="71" t="s">
        <v>397</v>
      </c>
      <c r="I314" s="71" t="s">
        <v>378</v>
      </c>
    </row>
    <row r="315" spans="1:9" ht="43.5" x14ac:dyDescent="0.35">
      <c r="A315" s="195">
        <v>2</v>
      </c>
      <c r="B315" s="195">
        <v>65</v>
      </c>
      <c r="C315" s="195" t="s">
        <v>699</v>
      </c>
      <c r="D315" s="195">
        <v>185</v>
      </c>
      <c r="E315" s="195" t="s">
        <v>373</v>
      </c>
      <c r="F315" s="71" t="s">
        <v>367</v>
      </c>
      <c r="G315" s="71" t="s">
        <v>678</v>
      </c>
      <c r="H315" s="71" t="s">
        <v>397</v>
      </c>
      <c r="I315" s="71" t="s">
        <v>380</v>
      </c>
    </row>
    <row r="316" spans="1:9" ht="43.5" x14ac:dyDescent="0.35">
      <c r="A316" s="195">
        <v>2</v>
      </c>
      <c r="B316" s="195">
        <v>66</v>
      </c>
      <c r="C316" s="195" t="s">
        <v>700</v>
      </c>
      <c r="D316" s="195">
        <v>20</v>
      </c>
      <c r="E316" s="195" t="s">
        <v>373</v>
      </c>
      <c r="F316" s="71" t="s">
        <v>367</v>
      </c>
      <c r="G316" s="71" t="s">
        <v>678</v>
      </c>
      <c r="H316" s="71" t="s">
        <v>397</v>
      </c>
      <c r="I316" s="71" t="s">
        <v>382</v>
      </c>
    </row>
    <row r="317" spans="1:9" ht="43.5" x14ac:dyDescent="0.35">
      <c r="A317" s="195">
        <v>2</v>
      </c>
      <c r="B317" s="195">
        <v>67</v>
      </c>
      <c r="C317" s="195" t="s">
        <v>701</v>
      </c>
      <c r="D317" s="64">
        <v>29795</v>
      </c>
      <c r="E317" s="195" t="s">
        <v>373</v>
      </c>
      <c r="F317" s="71" t="s">
        <v>367</v>
      </c>
      <c r="G317" s="71" t="s">
        <v>678</v>
      </c>
      <c r="H317" s="71" t="s">
        <v>397</v>
      </c>
      <c r="I317" s="71" t="s">
        <v>384</v>
      </c>
    </row>
    <row r="318" spans="1:9" ht="43.5" x14ac:dyDescent="0.35">
      <c r="A318" s="195">
        <v>2</v>
      </c>
      <c r="B318" s="195">
        <v>68</v>
      </c>
      <c r="C318" s="195" t="s">
        <v>702</v>
      </c>
      <c r="D318" s="64">
        <v>1230</v>
      </c>
      <c r="E318" s="195" t="s">
        <v>373</v>
      </c>
      <c r="F318" s="71" t="s">
        <v>367</v>
      </c>
      <c r="G318" s="71" t="s">
        <v>678</v>
      </c>
      <c r="H318" s="71" t="s">
        <v>397</v>
      </c>
      <c r="I318" s="71" t="s">
        <v>386</v>
      </c>
    </row>
    <row r="319" spans="1:9" ht="43.5" x14ac:dyDescent="0.35">
      <c r="A319" s="195">
        <v>2</v>
      </c>
      <c r="B319" s="195">
        <v>69</v>
      </c>
      <c r="C319" s="195" t="s">
        <v>703</v>
      </c>
      <c r="D319" s="64">
        <v>103735</v>
      </c>
      <c r="E319" s="195" t="s">
        <v>366</v>
      </c>
      <c r="F319" s="71" t="s">
        <v>367</v>
      </c>
      <c r="G319" s="71" t="s">
        <v>678</v>
      </c>
      <c r="H319" s="71" t="s">
        <v>406</v>
      </c>
      <c r="I319" s="71" t="s">
        <v>364</v>
      </c>
    </row>
    <row r="320" spans="1:9" ht="43.5" x14ac:dyDescent="0.35">
      <c r="A320" s="195">
        <v>2</v>
      </c>
      <c r="B320" s="195">
        <v>70</v>
      </c>
      <c r="C320" s="195" t="s">
        <v>704</v>
      </c>
      <c r="D320" s="64">
        <v>56815</v>
      </c>
      <c r="E320" s="195" t="s">
        <v>373</v>
      </c>
      <c r="F320" s="71" t="s">
        <v>367</v>
      </c>
      <c r="G320" s="71" t="s">
        <v>678</v>
      </c>
      <c r="H320" s="71" t="s">
        <v>406</v>
      </c>
      <c r="I320" s="71" t="s">
        <v>374</v>
      </c>
    </row>
    <row r="321" spans="1:9" ht="43.5" x14ac:dyDescent="0.35">
      <c r="A321" s="195">
        <v>2</v>
      </c>
      <c r="B321" s="195">
        <v>71</v>
      </c>
      <c r="C321" s="195" t="s">
        <v>705</v>
      </c>
      <c r="D321" s="64">
        <v>20735</v>
      </c>
      <c r="E321" s="195" t="s">
        <v>373</v>
      </c>
      <c r="F321" s="71" t="s">
        <v>367</v>
      </c>
      <c r="G321" s="71" t="s">
        <v>678</v>
      </c>
      <c r="H321" s="71" t="s">
        <v>406</v>
      </c>
      <c r="I321" s="71" t="s">
        <v>376</v>
      </c>
    </row>
    <row r="322" spans="1:9" ht="43.5" x14ac:dyDescent="0.35">
      <c r="A322" s="195">
        <v>2</v>
      </c>
      <c r="B322" s="195">
        <v>72</v>
      </c>
      <c r="C322" s="195" t="s">
        <v>706</v>
      </c>
      <c r="D322" s="64">
        <v>4830</v>
      </c>
      <c r="E322" s="195" t="s">
        <v>373</v>
      </c>
      <c r="F322" s="71" t="s">
        <v>367</v>
      </c>
      <c r="G322" s="71" t="s">
        <v>678</v>
      </c>
      <c r="H322" s="71" t="s">
        <v>406</v>
      </c>
      <c r="I322" s="71" t="s">
        <v>378</v>
      </c>
    </row>
    <row r="323" spans="1:9" ht="43.5" x14ac:dyDescent="0.35">
      <c r="A323" s="195">
        <v>2</v>
      </c>
      <c r="B323" s="195">
        <v>73</v>
      </c>
      <c r="C323" s="195" t="s">
        <v>707</v>
      </c>
      <c r="D323" s="195">
        <v>105</v>
      </c>
      <c r="E323" s="195" t="s">
        <v>373</v>
      </c>
      <c r="F323" s="71" t="s">
        <v>367</v>
      </c>
      <c r="G323" s="71" t="s">
        <v>678</v>
      </c>
      <c r="H323" s="71" t="s">
        <v>406</v>
      </c>
      <c r="I323" s="71" t="s">
        <v>380</v>
      </c>
    </row>
    <row r="324" spans="1:9" ht="43.5" x14ac:dyDescent="0.35">
      <c r="A324" s="195">
        <v>2</v>
      </c>
      <c r="B324" s="195">
        <v>74</v>
      </c>
      <c r="C324" s="195" t="s">
        <v>708</v>
      </c>
      <c r="D324" s="195">
        <v>35</v>
      </c>
      <c r="E324" s="195" t="s">
        <v>373</v>
      </c>
      <c r="F324" s="71" t="s">
        <v>367</v>
      </c>
      <c r="G324" s="71" t="s">
        <v>678</v>
      </c>
      <c r="H324" s="71" t="s">
        <v>406</v>
      </c>
      <c r="I324" s="71" t="s">
        <v>382</v>
      </c>
    </row>
    <row r="325" spans="1:9" ht="43.5" x14ac:dyDescent="0.35">
      <c r="A325" s="195">
        <v>2</v>
      </c>
      <c r="B325" s="195">
        <v>75</v>
      </c>
      <c r="C325" s="195" t="s">
        <v>709</v>
      </c>
      <c r="D325" s="64">
        <v>20305</v>
      </c>
      <c r="E325" s="195" t="s">
        <v>373</v>
      </c>
      <c r="F325" s="71" t="s">
        <v>367</v>
      </c>
      <c r="G325" s="71" t="s">
        <v>678</v>
      </c>
      <c r="H325" s="71" t="s">
        <v>406</v>
      </c>
      <c r="I325" s="71" t="s">
        <v>384</v>
      </c>
    </row>
    <row r="326" spans="1:9" ht="43.5" x14ac:dyDescent="0.35">
      <c r="A326" s="195">
        <v>2</v>
      </c>
      <c r="B326" s="195">
        <v>76</v>
      </c>
      <c r="C326" s="195" t="s">
        <v>710</v>
      </c>
      <c r="D326" s="195">
        <v>910</v>
      </c>
      <c r="E326" s="195" t="s">
        <v>373</v>
      </c>
      <c r="F326" s="71" t="s">
        <v>367</v>
      </c>
      <c r="G326" s="71" t="s">
        <v>678</v>
      </c>
      <c r="H326" s="71" t="s">
        <v>406</v>
      </c>
      <c r="I326" s="71" t="s">
        <v>386</v>
      </c>
    </row>
    <row r="327" spans="1:9" ht="43.5" x14ac:dyDescent="0.35">
      <c r="A327" s="195">
        <v>2</v>
      </c>
      <c r="B327" s="195">
        <v>77</v>
      </c>
      <c r="C327" s="195" t="s">
        <v>711</v>
      </c>
      <c r="D327" s="64">
        <v>578665</v>
      </c>
      <c r="E327" s="195" t="s">
        <v>366</v>
      </c>
      <c r="F327" s="71" t="s">
        <v>367</v>
      </c>
      <c r="G327" s="71" t="s">
        <v>678</v>
      </c>
      <c r="H327" s="71" t="s">
        <v>415</v>
      </c>
      <c r="I327" s="71" t="s">
        <v>364</v>
      </c>
    </row>
    <row r="328" spans="1:9" ht="43.5" x14ac:dyDescent="0.35">
      <c r="A328" s="195">
        <v>2</v>
      </c>
      <c r="B328" s="195">
        <v>78</v>
      </c>
      <c r="C328" s="195" t="s">
        <v>712</v>
      </c>
      <c r="D328" s="64">
        <v>399230</v>
      </c>
      <c r="E328" s="195" t="s">
        <v>373</v>
      </c>
      <c r="F328" s="71" t="s">
        <v>367</v>
      </c>
      <c r="G328" s="71" t="s">
        <v>678</v>
      </c>
      <c r="H328" s="71" t="s">
        <v>415</v>
      </c>
      <c r="I328" s="71" t="s">
        <v>374</v>
      </c>
    </row>
    <row r="329" spans="1:9" ht="43.5" x14ac:dyDescent="0.35">
      <c r="A329" s="195">
        <v>2</v>
      </c>
      <c r="B329" s="195">
        <v>79</v>
      </c>
      <c r="C329" s="195" t="s">
        <v>713</v>
      </c>
      <c r="D329" s="64">
        <v>74025</v>
      </c>
      <c r="E329" s="195" t="s">
        <v>373</v>
      </c>
      <c r="F329" s="71" t="s">
        <v>367</v>
      </c>
      <c r="G329" s="71" t="s">
        <v>678</v>
      </c>
      <c r="H329" s="71" t="s">
        <v>415</v>
      </c>
      <c r="I329" s="71" t="s">
        <v>376</v>
      </c>
    </row>
    <row r="330" spans="1:9" ht="43.5" x14ac:dyDescent="0.35">
      <c r="A330" s="195">
        <v>2</v>
      </c>
      <c r="B330" s="195">
        <v>80</v>
      </c>
      <c r="C330" s="195" t="s">
        <v>714</v>
      </c>
      <c r="D330" s="64">
        <v>39395</v>
      </c>
      <c r="E330" s="195" t="s">
        <v>373</v>
      </c>
      <c r="F330" s="71" t="s">
        <v>367</v>
      </c>
      <c r="G330" s="71" t="s">
        <v>678</v>
      </c>
      <c r="H330" s="71" t="s">
        <v>415</v>
      </c>
      <c r="I330" s="71" t="s">
        <v>378</v>
      </c>
    </row>
    <row r="331" spans="1:9" ht="43.5" x14ac:dyDescent="0.35">
      <c r="A331" s="195">
        <v>2</v>
      </c>
      <c r="B331" s="195">
        <v>81</v>
      </c>
      <c r="C331" s="195" t="s">
        <v>715</v>
      </c>
      <c r="D331" s="195">
        <v>500</v>
      </c>
      <c r="E331" s="195" t="s">
        <v>373</v>
      </c>
      <c r="F331" s="71" t="s">
        <v>367</v>
      </c>
      <c r="G331" s="71" t="s">
        <v>678</v>
      </c>
      <c r="H331" s="71" t="s">
        <v>415</v>
      </c>
      <c r="I331" s="71" t="s">
        <v>380</v>
      </c>
    </row>
    <row r="332" spans="1:9" ht="43.5" x14ac:dyDescent="0.35">
      <c r="A332" s="195">
        <v>2</v>
      </c>
      <c r="B332" s="195">
        <v>82</v>
      </c>
      <c r="C332" s="195" t="s">
        <v>716</v>
      </c>
      <c r="D332" s="195">
        <v>115</v>
      </c>
      <c r="E332" s="195" t="s">
        <v>373</v>
      </c>
      <c r="F332" s="71" t="s">
        <v>367</v>
      </c>
      <c r="G332" s="71" t="s">
        <v>678</v>
      </c>
      <c r="H332" s="71" t="s">
        <v>415</v>
      </c>
      <c r="I332" s="71" t="s">
        <v>382</v>
      </c>
    </row>
    <row r="333" spans="1:9" ht="43.5" x14ac:dyDescent="0.35">
      <c r="A333" s="195">
        <v>2</v>
      </c>
      <c r="B333" s="195">
        <v>83</v>
      </c>
      <c r="C333" s="195" t="s">
        <v>717</v>
      </c>
      <c r="D333" s="64">
        <v>59210</v>
      </c>
      <c r="E333" s="195" t="s">
        <v>373</v>
      </c>
      <c r="F333" s="71" t="s">
        <v>367</v>
      </c>
      <c r="G333" s="71" t="s">
        <v>678</v>
      </c>
      <c r="H333" s="71" t="s">
        <v>415</v>
      </c>
      <c r="I333" s="71" t="s">
        <v>384</v>
      </c>
    </row>
    <row r="334" spans="1:9" ht="43.5" x14ac:dyDescent="0.35">
      <c r="A334" s="195">
        <v>2</v>
      </c>
      <c r="B334" s="195">
        <v>84</v>
      </c>
      <c r="C334" s="195" t="s">
        <v>718</v>
      </c>
      <c r="D334" s="64">
        <v>6190</v>
      </c>
      <c r="E334" s="195" t="s">
        <v>373</v>
      </c>
      <c r="F334" s="71" t="s">
        <v>367</v>
      </c>
      <c r="G334" s="71" t="s">
        <v>678</v>
      </c>
      <c r="H334" s="71" t="s">
        <v>415</v>
      </c>
      <c r="I334" s="71" t="s">
        <v>386</v>
      </c>
    </row>
    <row r="335" spans="1:9" ht="58" x14ac:dyDescent="0.35">
      <c r="A335" s="195">
        <v>2</v>
      </c>
      <c r="B335" s="195">
        <v>85</v>
      </c>
      <c r="C335" s="195" t="s">
        <v>719</v>
      </c>
      <c r="D335" s="64">
        <v>10065</v>
      </c>
      <c r="E335" s="195" t="s">
        <v>366</v>
      </c>
      <c r="F335" s="71" t="s">
        <v>367</v>
      </c>
      <c r="G335" s="71" t="s">
        <v>720</v>
      </c>
      <c r="H335" s="71" t="s">
        <v>363</v>
      </c>
      <c r="I335" s="71" t="s">
        <v>364</v>
      </c>
    </row>
    <row r="336" spans="1:9" ht="58" x14ac:dyDescent="0.35">
      <c r="A336" s="195">
        <v>2</v>
      </c>
      <c r="B336" s="195">
        <v>86</v>
      </c>
      <c r="C336" s="195" t="s">
        <v>721</v>
      </c>
      <c r="D336" s="64">
        <v>10065</v>
      </c>
      <c r="E336" s="195" t="s">
        <v>366</v>
      </c>
      <c r="F336" s="71" t="s">
        <v>367</v>
      </c>
      <c r="G336" s="71" t="s">
        <v>720</v>
      </c>
      <c r="H336" s="71" t="s">
        <v>371</v>
      </c>
      <c r="I336" s="71" t="s">
        <v>364</v>
      </c>
    </row>
    <row r="337" spans="1:9" ht="58" x14ac:dyDescent="0.35">
      <c r="A337" s="195">
        <v>2</v>
      </c>
      <c r="B337" s="195">
        <v>87</v>
      </c>
      <c r="C337" s="195" t="s">
        <v>722</v>
      </c>
      <c r="D337" s="64">
        <v>5440</v>
      </c>
      <c r="E337" s="195" t="s">
        <v>373</v>
      </c>
      <c r="F337" s="71" t="s">
        <v>367</v>
      </c>
      <c r="G337" s="71" t="s">
        <v>720</v>
      </c>
      <c r="H337" s="71" t="s">
        <v>371</v>
      </c>
      <c r="I337" s="71" t="s">
        <v>374</v>
      </c>
    </row>
    <row r="338" spans="1:9" ht="58" x14ac:dyDescent="0.35">
      <c r="A338" s="195">
        <v>2</v>
      </c>
      <c r="B338" s="195">
        <v>88</v>
      </c>
      <c r="C338" s="195" t="s">
        <v>723</v>
      </c>
      <c r="D338" s="64">
        <v>2645</v>
      </c>
      <c r="E338" s="195" t="s">
        <v>373</v>
      </c>
      <c r="F338" s="71" t="s">
        <v>367</v>
      </c>
      <c r="G338" s="71" t="s">
        <v>720</v>
      </c>
      <c r="H338" s="71" t="s">
        <v>371</v>
      </c>
      <c r="I338" s="71" t="s">
        <v>376</v>
      </c>
    </row>
    <row r="339" spans="1:9" ht="58" x14ac:dyDescent="0.35">
      <c r="A339" s="195">
        <v>2</v>
      </c>
      <c r="B339" s="195">
        <v>89</v>
      </c>
      <c r="C339" s="195" t="s">
        <v>724</v>
      </c>
      <c r="D339" s="195">
        <v>815</v>
      </c>
      <c r="E339" s="195" t="s">
        <v>373</v>
      </c>
      <c r="F339" s="71" t="s">
        <v>367</v>
      </c>
      <c r="G339" s="71" t="s">
        <v>720</v>
      </c>
      <c r="H339" s="71" t="s">
        <v>371</v>
      </c>
      <c r="I339" s="71" t="s">
        <v>378</v>
      </c>
    </row>
    <row r="340" spans="1:9" ht="58" x14ac:dyDescent="0.35">
      <c r="A340" s="195">
        <v>2</v>
      </c>
      <c r="B340" s="195">
        <v>90</v>
      </c>
      <c r="C340" s="195" t="s">
        <v>725</v>
      </c>
      <c r="D340" s="195">
        <v>60</v>
      </c>
      <c r="E340" s="195" t="s">
        <v>373</v>
      </c>
      <c r="F340" s="71" t="s">
        <v>367</v>
      </c>
      <c r="G340" s="71" t="s">
        <v>720</v>
      </c>
      <c r="H340" s="71" t="s">
        <v>371</v>
      </c>
      <c r="I340" s="71" t="s">
        <v>380</v>
      </c>
    </row>
    <row r="341" spans="1:9" ht="58" x14ac:dyDescent="0.35">
      <c r="A341" s="195">
        <v>2</v>
      </c>
      <c r="B341" s="195">
        <v>91</v>
      </c>
      <c r="C341" s="195" t="s">
        <v>726</v>
      </c>
      <c r="D341" s="195">
        <v>0</v>
      </c>
      <c r="E341" s="195" t="s">
        <v>373</v>
      </c>
      <c r="F341" s="71" t="s">
        <v>367</v>
      </c>
      <c r="G341" s="71" t="s">
        <v>720</v>
      </c>
      <c r="H341" s="71" t="s">
        <v>371</v>
      </c>
      <c r="I341" s="71" t="s">
        <v>382</v>
      </c>
    </row>
    <row r="342" spans="1:9" ht="58" x14ac:dyDescent="0.35">
      <c r="A342" s="195">
        <v>2</v>
      </c>
      <c r="B342" s="195">
        <v>92</v>
      </c>
      <c r="C342" s="195" t="s">
        <v>727</v>
      </c>
      <c r="D342" s="64">
        <v>1000</v>
      </c>
      <c r="E342" s="195" t="s">
        <v>373</v>
      </c>
      <c r="F342" s="71" t="s">
        <v>367</v>
      </c>
      <c r="G342" s="71" t="s">
        <v>720</v>
      </c>
      <c r="H342" s="71" t="s">
        <v>371</v>
      </c>
      <c r="I342" s="71" t="s">
        <v>384</v>
      </c>
    </row>
    <row r="343" spans="1:9" ht="58" x14ac:dyDescent="0.35">
      <c r="A343" s="195">
        <v>2</v>
      </c>
      <c r="B343" s="195">
        <v>93</v>
      </c>
      <c r="C343" s="195" t="s">
        <v>728</v>
      </c>
      <c r="D343" s="195">
        <v>100</v>
      </c>
      <c r="E343" s="195" t="s">
        <v>373</v>
      </c>
      <c r="F343" s="71" t="s">
        <v>367</v>
      </c>
      <c r="G343" s="71" t="s">
        <v>720</v>
      </c>
      <c r="H343" s="71" t="s">
        <v>371</v>
      </c>
      <c r="I343" s="71" t="s">
        <v>386</v>
      </c>
    </row>
    <row r="344" spans="1:9" ht="58" x14ac:dyDescent="0.35">
      <c r="A344" s="195">
        <v>2</v>
      </c>
      <c r="B344" s="195">
        <v>94</v>
      </c>
      <c r="C344" s="195" t="s">
        <v>729</v>
      </c>
      <c r="D344" s="195">
        <v>0</v>
      </c>
      <c r="E344" s="195" t="s">
        <v>366</v>
      </c>
      <c r="F344" s="71" t="s">
        <v>367</v>
      </c>
      <c r="G344" s="71" t="s">
        <v>720</v>
      </c>
      <c r="H344" s="71" t="s">
        <v>388</v>
      </c>
      <c r="I344" s="71" t="s">
        <v>364</v>
      </c>
    </row>
    <row r="345" spans="1:9" ht="58" x14ac:dyDescent="0.35">
      <c r="A345" s="195">
        <v>2</v>
      </c>
      <c r="B345" s="195">
        <v>95</v>
      </c>
      <c r="C345" s="195" t="s">
        <v>730</v>
      </c>
      <c r="D345" s="195">
        <v>0</v>
      </c>
      <c r="E345" s="195" t="s">
        <v>373</v>
      </c>
      <c r="F345" s="71" t="s">
        <v>367</v>
      </c>
      <c r="G345" s="71" t="s">
        <v>720</v>
      </c>
      <c r="H345" s="71" t="s">
        <v>388</v>
      </c>
      <c r="I345" s="71" t="s">
        <v>374</v>
      </c>
    </row>
    <row r="346" spans="1:9" ht="58" x14ac:dyDescent="0.35">
      <c r="A346" s="195">
        <v>2</v>
      </c>
      <c r="B346" s="195">
        <v>96</v>
      </c>
      <c r="C346" s="195" t="s">
        <v>731</v>
      </c>
      <c r="D346" s="195">
        <v>0</v>
      </c>
      <c r="E346" s="195" t="s">
        <v>373</v>
      </c>
      <c r="F346" s="71" t="s">
        <v>367</v>
      </c>
      <c r="G346" s="71" t="s">
        <v>720</v>
      </c>
      <c r="H346" s="71" t="s">
        <v>388</v>
      </c>
      <c r="I346" s="71" t="s">
        <v>376</v>
      </c>
    </row>
    <row r="347" spans="1:9" ht="58" x14ac:dyDescent="0.35">
      <c r="A347" s="195">
        <v>2</v>
      </c>
      <c r="B347" s="195">
        <v>97</v>
      </c>
      <c r="C347" s="195" t="s">
        <v>732</v>
      </c>
      <c r="D347" s="195">
        <v>0</v>
      </c>
      <c r="E347" s="195" t="s">
        <v>373</v>
      </c>
      <c r="F347" s="71" t="s">
        <v>367</v>
      </c>
      <c r="G347" s="71" t="s">
        <v>720</v>
      </c>
      <c r="H347" s="71" t="s">
        <v>388</v>
      </c>
      <c r="I347" s="71" t="s">
        <v>378</v>
      </c>
    </row>
    <row r="348" spans="1:9" ht="58" x14ac:dyDescent="0.35">
      <c r="A348" s="195">
        <v>2</v>
      </c>
      <c r="B348" s="195">
        <v>98</v>
      </c>
      <c r="C348" s="195" t="s">
        <v>733</v>
      </c>
      <c r="D348" s="195">
        <v>0</v>
      </c>
      <c r="E348" s="195" t="s">
        <v>373</v>
      </c>
      <c r="F348" s="71" t="s">
        <v>367</v>
      </c>
      <c r="G348" s="71" t="s">
        <v>720</v>
      </c>
      <c r="H348" s="71" t="s">
        <v>388</v>
      </c>
      <c r="I348" s="71" t="s">
        <v>380</v>
      </c>
    </row>
    <row r="349" spans="1:9" ht="58" x14ac:dyDescent="0.35">
      <c r="A349" s="195">
        <v>2</v>
      </c>
      <c r="B349" s="195">
        <v>99</v>
      </c>
      <c r="C349" s="195" t="s">
        <v>734</v>
      </c>
      <c r="D349" s="195">
        <v>0</v>
      </c>
      <c r="E349" s="195" t="s">
        <v>373</v>
      </c>
      <c r="F349" s="71" t="s">
        <v>367</v>
      </c>
      <c r="G349" s="71" t="s">
        <v>720</v>
      </c>
      <c r="H349" s="71" t="s">
        <v>388</v>
      </c>
      <c r="I349" s="71" t="s">
        <v>382</v>
      </c>
    </row>
    <row r="350" spans="1:9" ht="58" x14ac:dyDescent="0.35">
      <c r="A350" s="195">
        <v>2</v>
      </c>
      <c r="B350" s="195">
        <v>100</v>
      </c>
      <c r="C350" s="195" t="s">
        <v>735</v>
      </c>
      <c r="D350" s="195">
        <v>0</v>
      </c>
      <c r="E350" s="195" t="s">
        <v>373</v>
      </c>
      <c r="F350" s="71" t="s">
        <v>367</v>
      </c>
      <c r="G350" s="71" t="s">
        <v>720</v>
      </c>
      <c r="H350" s="71" t="s">
        <v>388</v>
      </c>
      <c r="I350" s="71" t="s">
        <v>384</v>
      </c>
    </row>
    <row r="351" spans="1:9" ht="58" x14ac:dyDescent="0.35">
      <c r="A351" s="195">
        <v>2</v>
      </c>
      <c r="B351" s="195">
        <v>101</v>
      </c>
      <c r="C351" s="195" t="s">
        <v>736</v>
      </c>
      <c r="D351" s="195">
        <v>0</v>
      </c>
      <c r="E351" s="195" t="s">
        <v>373</v>
      </c>
      <c r="F351" s="71" t="s">
        <v>367</v>
      </c>
      <c r="G351" s="71" t="s">
        <v>720</v>
      </c>
      <c r="H351" s="71" t="s">
        <v>388</v>
      </c>
      <c r="I351" s="71" t="s">
        <v>386</v>
      </c>
    </row>
    <row r="352" spans="1:9" ht="58" x14ac:dyDescent="0.35">
      <c r="A352" s="195">
        <v>2</v>
      </c>
      <c r="B352" s="195">
        <v>102</v>
      </c>
      <c r="C352" s="195" t="s">
        <v>737</v>
      </c>
      <c r="D352" s="195">
        <v>0</v>
      </c>
      <c r="E352" s="195" t="s">
        <v>366</v>
      </c>
      <c r="F352" s="71" t="s">
        <v>367</v>
      </c>
      <c r="G352" s="71" t="s">
        <v>720</v>
      </c>
      <c r="H352" s="71" t="s">
        <v>397</v>
      </c>
      <c r="I352" s="71" t="s">
        <v>364</v>
      </c>
    </row>
    <row r="353" spans="1:9" ht="58" x14ac:dyDescent="0.35">
      <c r="A353" s="195">
        <v>2</v>
      </c>
      <c r="B353" s="195">
        <v>103</v>
      </c>
      <c r="C353" s="195" t="s">
        <v>738</v>
      </c>
      <c r="D353" s="195">
        <v>0</v>
      </c>
      <c r="E353" s="195" t="s">
        <v>373</v>
      </c>
      <c r="F353" s="71" t="s">
        <v>367</v>
      </c>
      <c r="G353" s="71" t="s">
        <v>720</v>
      </c>
      <c r="H353" s="71" t="s">
        <v>397</v>
      </c>
      <c r="I353" s="71" t="s">
        <v>374</v>
      </c>
    </row>
    <row r="354" spans="1:9" ht="58" x14ac:dyDescent="0.35">
      <c r="A354" s="195">
        <v>2</v>
      </c>
      <c r="B354" s="195">
        <v>104</v>
      </c>
      <c r="C354" s="195" t="s">
        <v>739</v>
      </c>
      <c r="D354" s="195">
        <v>0</v>
      </c>
      <c r="E354" s="195" t="s">
        <v>373</v>
      </c>
      <c r="F354" s="71" t="s">
        <v>367</v>
      </c>
      <c r="G354" s="71" t="s">
        <v>720</v>
      </c>
      <c r="H354" s="71" t="s">
        <v>397</v>
      </c>
      <c r="I354" s="71" t="s">
        <v>376</v>
      </c>
    </row>
    <row r="355" spans="1:9" ht="58" x14ac:dyDescent="0.35">
      <c r="A355" s="195">
        <v>2</v>
      </c>
      <c r="B355" s="195">
        <v>105</v>
      </c>
      <c r="C355" s="195" t="s">
        <v>740</v>
      </c>
      <c r="D355" s="195">
        <v>0</v>
      </c>
      <c r="E355" s="195" t="s">
        <v>373</v>
      </c>
      <c r="F355" s="71" t="s">
        <v>367</v>
      </c>
      <c r="G355" s="71" t="s">
        <v>720</v>
      </c>
      <c r="H355" s="71" t="s">
        <v>397</v>
      </c>
      <c r="I355" s="71" t="s">
        <v>378</v>
      </c>
    </row>
    <row r="356" spans="1:9" ht="58" x14ac:dyDescent="0.35">
      <c r="A356" s="195">
        <v>2</v>
      </c>
      <c r="B356" s="195">
        <v>106</v>
      </c>
      <c r="C356" s="195" t="s">
        <v>741</v>
      </c>
      <c r="D356" s="195">
        <v>0</v>
      </c>
      <c r="E356" s="195" t="s">
        <v>373</v>
      </c>
      <c r="F356" s="71" t="s">
        <v>367</v>
      </c>
      <c r="G356" s="71" t="s">
        <v>720</v>
      </c>
      <c r="H356" s="71" t="s">
        <v>397</v>
      </c>
      <c r="I356" s="71" t="s">
        <v>380</v>
      </c>
    </row>
    <row r="357" spans="1:9" ht="58" x14ac:dyDescent="0.35">
      <c r="A357" s="195">
        <v>2</v>
      </c>
      <c r="B357" s="195">
        <v>107</v>
      </c>
      <c r="C357" s="195" t="s">
        <v>742</v>
      </c>
      <c r="D357" s="195">
        <v>0</v>
      </c>
      <c r="E357" s="195" t="s">
        <v>373</v>
      </c>
      <c r="F357" s="71" t="s">
        <v>367</v>
      </c>
      <c r="G357" s="71" t="s">
        <v>720</v>
      </c>
      <c r="H357" s="71" t="s">
        <v>397</v>
      </c>
      <c r="I357" s="71" t="s">
        <v>382</v>
      </c>
    </row>
    <row r="358" spans="1:9" ht="58" x14ac:dyDescent="0.35">
      <c r="A358" s="195">
        <v>2</v>
      </c>
      <c r="B358" s="195">
        <v>108</v>
      </c>
      <c r="C358" s="195" t="s">
        <v>743</v>
      </c>
      <c r="D358" s="195">
        <v>0</v>
      </c>
      <c r="E358" s="195" t="s">
        <v>373</v>
      </c>
      <c r="F358" s="71" t="s">
        <v>367</v>
      </c>
      <c r="G358" s="71" t="s">
        <v>720</v>
      </c>
      <c r="H358" s="71" t="s">
        <v>397</v>
      </c>
      <c r="I358" s="71" t="s">
        <v>384</v>
      </c>
    </row>
    <row r="359" spans="1:9" ht="58" x14ac:dyDescent="0.35">
      <c r="A359" s="195">
        <v>2</v>
      </c>
      <c r="B359" s="195">
        <v>109</v>
      </c>
      <c r="C359" s="195" t="s">
        <v>744</v>
      </c>
      <c r="D359" s="195">
        <v>0</v>
      </c>
      <c r="E359" s="195" t="s">
        <v>373</v>
      </c>
      <c r="F359" s="71" t="s">
        <v>367</v>
      </c>
      <c r="G359" s="71" t="s">
        <v>720</v>
      </c>
      <c r="H359" s="71" t="s">
        <v>397</v>
      </c>
      <c r="I359" s="71" t="s">
        <v>386</v>
      </c>
    </row>
    <row r="360" spans="1:9" ht="58" x14ac:dyDescent="0.35">
      <c r="A360" s="195">
        <v>2</v>
      </c>
      <c r="B360" s="195">
        <v>110</v>
      </c>
      <c r="C360" s="195" t="s">
        <v>745</v>
      </c>
      <c r="D360" s="195">
        <v>0</v>
      </c>
      <c r="E360" s="195" t="s">
        <v>366</v>
      </c>
      <c r="F360" s="71" t="s">
        <v>367</v>
      </c>
      <c r="G360" s="71" t="s">
        <v>720</v>
      </c>
      <c r="H360" s="71" t="s">
        <v>406</v>
      </c>
      <c r="I360" s="71" t="s">
        <v>364</v>
      </c>
    </row>
    <row r="361" spans="1:9" ht="58" x14ac:dyDescent="0.35">
      <c r="A361" s="195">
        <v>2</v>
      </c>
      <c r="B361" s="195">
        <v>111</v>
      </c>
      <c r="C361" s="195" t="s">
        <v>746</v>
      </c>
      <c r="D361" s="195">
        <v>0</v>
      </c>
      <c r="E361" s="195" t="s">
        <v>373</v>
      </c>
      <c r="F361" s="71" t="s">
        <v>367</v>
      </c>
      <c r="G361" s="71" t="s">
        <v>720</v>
      </c>
      <c r="H361" s="71" t="s">
        <v>406</v>
      </c>
      <c r="I361" s="71" t="s">
        <v>374</v>
      </c>
    </row>
    <row r="362" spans="1:9" ht="58" x14ac:dyDescent="0.35">
      <c r="A362" s="195">
        <v>2</v>
      </c>
      <c r="B362" s="195">
        <v>112</v>
      </c>
      <c r="C362" s="195" t="s">
        <v>747</v>
      </c>
      <c r="D362" s="195">
        <v>0</v>
      </c>
      <c r="E362" s="195" t="s">
        <v>373</v>
      </c>
      <c r="F362" s="71" t="s">
        <v>367</v>
      </c>
      <c r="G362" s="71" t="s">
        <v>720</v>
      </c>
      <c r="H362" s="71" t="s">
        <v>406</v>
      </c>
      <c r="I362" s="71" t="s">
        <v>376</v>
      </c>
    </row>
    <row r="363" spans="1:9" ht="58" x14ac:dyDescent="0.35">
      <c r="A363" s="195">
        <v>2</v>
      </c>
      <c r="B363" s="195">
        <v>113</v>
      </c>
      <c r="C363" s="195" t="s">
        <v>748</v>
      </c>
      <c r="D363" s="195">
        <v>0</v>
      </c>
      <c r="E363" s="195" t="s">
        <v>373</v>
      </c>
      <c r="F363" s="71" t="s">
        <v>367</v>
      </c>
      <c r="G363" s="71" t="s">
        <v>720</v>
      </c>
      <c r="H363" s="71" t="s">
        <v>406</v>
      </c>
      <c r="I363" s="71" t="s">
        <v>378</v>
      </c>
    </row>
    <row r="364" spans="1:9" ht="58" x14ac:dyDescent="0.35">
      <c r="A364" s="195">
        <v>2</v>
      </c>
      <c r="B364" s="195">
        <v>114</v>
      </c>
      <c r="C364" s="195" t="s">
        <v>749</v>
      </c>
      <c r="D364" s="195">
        <v>0</v>
      </c>
      <c r="E364" s="195" t="s">
        <v>373</v>
      </c>
      <c r="F364" s="71" t="s">
        <v>367</v>
      </c>
      <c r="G364" s="71" t="s">
        <v>720</v>
      </c>
      <c r="H364" s="71" t="s">
        <v>406</v>
      </c>
      <c r="I364" s="71" t="s">
        <v>380</v>
      </c>
    </row>
    <row r="365" spans="1:9" ht="58" x14ac:dyDescent="0.35">
      <c r="A365" s="195">
        <v>2</v>
      </c>
      <c r="B365" s="195">
        <v>115</v>
      </c>
      <c r="C365" s="195" t="s">
        <v>750</v>
      </c>
      <c r="D365" s="195">
        <v>0</v>
      </c>
      <c r="E365" s="195" t="s">
        <v>373</v>
      </c>
      <c r="F365" s="71" t="s">
        <v>367</v>
      </c>
      <c r="G365" s="71" t="s">
        <v>720</v>
      </c>
      <c r="H365" s="71" t="s">
        <v>406</v>
      </c>
      <c r="I365" s="71" t="s">
        <v>382</v>
      </c>
    </row>
    <row r="366" spans="1:9" ht="58" x14ac:dyDescent="0.35">
      <c r="A366" s="195">
        <v>2</v>
      </c>
      <c r="B366" s="195">
        <v>116</v>
      </c>
      <c r="C366" s="195" t="s">
        <v>751</v>
      </c>
      <c r="D366" s="195">
        <v>0</v>
      </c>
      <c r="E366" s="195" t="s">
        <v>373</v>
      </c>
      <c r="F366" s="71" t="s">
        <v>367</v>
      </c>
      <c r="G366" s="71" t="s">
        <v>720</v>
      </c>
      <c r="H366" s="71" t="s">
        <v>406</v>
      </c>
      <c r="I366" s="71" t="s">
        <v>384</v>
      </c>
    </row>
    <row r="367" spans="1:9" ht="58" x14ac:dyDescent="0.35">
      <c r="A367" s="195">
        <v>2</v>
      </c>
      <c r="B367" s="195">
        <v>117</v>
      </c>
      <c r="C367" s="195" t="s">
        <v>752</v>
      </c>
      <c r="D367" s="195">
        <v>0</v>
      </c>
      <c r="E367" s="195" t="s">
        <v>373</v>
      </c>
      <c r="F367" s="71" t="s">
        <v>367</v>
      </c>
      <c r="G367" s="71" t="s">
        <v>720</v>
      </c>
      <c r="H367" s="71" t="s">
        <v>406</v>
      </c>
      <c r="I367" s="71" t="s">
        <v>386</v>
      </c>
    </row>
    <row r="368" spans="1:9" ht="58" x14ac:dyDescent="0.35">
      <c r="A368" s="195">
        <v>2</v>
      </c>
      <c r="B368" s="195">
        <v>118</v>
      </c>
      <c r="C368" s="195" t="s">
        <v>753</v>
      </c>
      <c r="D368" s="195">
        <v>0</v>
      </c>
      <c r="E368" s="195" t="s">
        <v>366</v>
      </c>
      <c r="F368" s="71" t="s">
        <v>367</v>
      </c>
      <c r="G368" s="71" t="s">
        <v>720</v>
      </c>
      <c r="H368" s="71" t="s">
        <v>415</v>
      </c>
      <c r="I368" s="71" t="s">
        <v>364</v>
      </c>
    </row>
    <row r="369" spans="1:9" ht="58" x14ac:dyDescent="0.35">
      <c r="A369" s="195">
        <v>2</v>
      </c>
      <c r="B369" s="195">
        <v>119</v>
      </c>
      <c r="C369" s="195" t="s">
        <v>754</v>
      </c>
      <c r="D369" s="195">
        <v>0</v>
      </c>
      <c r="E369" s="195" t="s">
        <v>373</v>
      </c>
      <c r="F369" s="71" t="s">
        <v>367</v>
      </c>
      <c r="G369" s="71" t="s">
        <v>720</v>
      </c>
      <c r="H369" s="71" t="s">
        <v>415</v>
      </c>
      <c r="I369" s="71" t="s">
        <v>374</v>
      </c>
    </row>
    <row r="370" spans="1:9" ht="58" x14ac:dyDescent="0.35">
      <c r="A370" s="195">
        <v>2</v>
      </c>
      <c r="B370" s="195">
        <v>120</v>
      </c>
      <c r="C370" s="195" t="s">
        <v>755</v>
      </c>
      <c r="D370" s="195">
        <v>0</v>
      </c>
      <c r="E370" s="195" t="s">
        <v>373</v>
      </c>
      <c r="F370" s="71" t="s">
        <v>367</v>
      </c>
      <c r="G370" s="71" t="s">
        <v>720</v>
      </c>
      <c r="H370" s="71" t="s">
        <v>415</v>
      </c>
      <c r="I370" s="71" t="s">
        <v>376</v>
      </c>
    </row>
    <row r="371" spans="1:9" ht="58" x14ac:dyDescent="0.35">
      <c r="A371" s="195">
        <v>2</v>
      </c>
      <c r="B371" s="195">
        <v>121</v>
      </c>
      <c r="C371" s="195" t="s">
        <v>756</v>
      </c>
      <c r="D371" s="195">
        <v>0</v>
      </c>
      <c r="E371" s="195" t="s">
        <v>373</v>
      </c>
      <c r="F371" s="71" t="s">
        <v>367</v>
      </c>
      <c r="G371" s="71" t="s">
        <v>720</v>
      </c>
      <c r="H371" s="71" t="s">
        <v>415</v>
      </c>
      <c r="I371" s="71" t="s">
        <v>378</v>
      </c>
    </row>
    <row r="372" spans="1:9" ht="58" x14ac:dyDescent="0.35">
      <c r="A372" s="195">
        <v>2</v>
      </c>
      <c r="B372" s="195">
        <v>122</v>
      </c>
      <c r="C372" s="195" t="s">
        <v>757</v>
      </c>
      <c r="D372" s="195">
        <v>0</v>
      </c>
      <c r="E372" s="195" t="s">
        <v>373</v>
      </c>
      <c r="F372" s="71" t="s">
        <v>367</v>
      </c>
      <c r="G372" s="71" t="s">
        <v>720</v>
      </c>
      <c r="H372" s="71" t="s">
        <v>415</v>
      </c>
      <c r="I372" s="71" t="s">
        <v>380</v>
      </c>
    </row>
    <row r="373" spans="1:9" ht="58" x14ac:dyDescent="0.35">
      <c r="A373" s="195">
        <v>2</v>
      </c>
      <c r="B373" s="195">
        <v>123</v>
      </c>
      <c r="C373" s="195" t="s">
        <v>758</v>
      </c>
      <c r="D373" s="195">
        <v>0</v>
      </c>
      <c r="E373" s="195" t="s">
        <v>373</v>
      </c>
      <c r="F373" s="71" t="s">
        <v>367</v>
      </c>
      <c r="G373" s="71" t="s">
        <v>720</v>
      </c>
      <c r="H373" s="71" t="s">
        <v>415</v>
      </c>
      <c r="I373" s="71" t="s">
        <v>382</v>
      </c>
    </row>
    <row r="374" spans="1:9" ht="58" x14ac:dyDescent="0.35">
      <c r="A374" s="195">
        <v>2</v>
      </c>
      <c r="B374" s="195">
        <v>124</v>
      </c>
      <c r="C374" s="195" t="s">
        <v>759</v>
      </c>
      <c r="D374" s="195">
        <v>0</v>
      </c>
      <c r="E374" s="195" t="s">
        <v>373</v>
      </c>
      <c r="F374" s="71" t="s">
        <v>367</v>
      </c>
      <c r="G374" s="71" t="s">
        <v>720</v>
      </c>
      <c r="H374" s="71" t="s">
        <v>415</v>
      </c>
      <c r="I374" s="71" t="s">
        <v>384</v>
      </c>
    </row>
    <row r="375" spans="1:9" ht="58" x14ac:dyDescent="0.35">
      <c r="A375" s="195">
        <v>2</v>
      </c>
      <c r="B375" s="195">
        <v>125</v>
      </c>
      <c r="C375" s="195" t="s">
        <v>760</v>
      </c>
      <c r="D375" s="195">
        <v>0</v>
      </c>
      <c r="E375" s="195" t="s">
        <v>373</v>
      </c>
      <c r="F375" s="71" t="s">
        <v>367</v>
      </c>
      <c r="G375" s="71" t="s">
        <v>720</v>
      </c>
      <c r="H375" s="71" t="s">
        <v>415</v>
      </c>
      <c r="I375" s="71" t="s">
        <v>386</v>
      </c>
    </row>
    <row r="376" spans="1:9" x14ac:dyDescent="0.35">
      <c r="A376" s="195">
        <v>2</v>
      </c>
      <c r="B376" s="195">
        <v>126</v>
      </c>
      <c r="C376" s="195" t="s">
        <v>761</v>
      </c>
      <c r="D376" s="64">
        <v>846440</v>
      </c>
      <c r="E376" s="195" t="s">
        <v>366</v>
      </c>
      <c r="F376" s="71" t="s">
        <v>508</v>
      </c>
      <c r="G376" s="71" t="s">
        <v>633</v>
      </c>
      <c r="H376" s="71" t="s">
        <v>363</v>
      </c>
      <c r="I376" s="71" t="s">
        <v>364</v>
      </c>
    </row>
    <row r="377" spans="1:9" ht="87" x14ac:dyDescent="0.35">
      <c r="A377" s="195">
        <v>2</v>
      </c>
      <c r="B377" s="195">
        <v>127</v>
      </c>
      <c r="C377" s="195" t="s">
        <v>762</v>
      </c>
      <c r="D377" s="64">
        <v>254245</v>
      </c>
      <c r="E377" s="195" t="s">
        <v>366</v>
      </c>
      <c r="F377" s="71" t="s">
        <v>508</v>
      </c>
      <c r="G377" s="71" t="s">
        <v>636</v>
      </c>
      <c r="H377" s="71" t="s">
        <v>363</v>
      </c>
      <c r="I377" s="71" t="s">
        <v>364</v>
      </c>
    </row>
    <row r="378" spans="1:9" ht="87" x14ac:dyDescent="0.35">
      <c r="A378" s="195">
        <v>2</v>
      </c>
      <c r="B378" s="195">
        <v>128</v>
      </c>
      <c r="C378" s="195" t="s">
        <v>763</v>
      </c>
      <c r="D378" s="64">
        <v>173640</v>
      </c>
      <c r="E378" s="195" t="s">
        <v>366</v>
      </c>
      <c r="F378" s="71" t="s">
        <v>508</v>
      </c>
      <c r="G378" s="71" t="s">
        <v>636</v>
      </c>
      <c r="H378" s="71" t="s">
        <v>371</v>
      </c>
      <c r="I378" s="71" t="s">
        <v>364</v>
      </c>
    </row>
    <row r="379" spans="1:9" ht="87" x14ac:dyDescent="0.35">
      <c r="A379" s="195">
        <v>2</v>
      </c>
      <c r="B379" s="195">
        <v>129</v>
      </c>
      <c r="C379" s="195" t="s">
        <v>764</v>
      </c>
      <c r="D379" s="64">
        <v>42650</v>
      </c>
      <c r="E379" s="195" t="s">
        <v>373</v>
      </c>
      <c r="F379" s="71" t="s">
        <v>508</v>
      </c>
      <c r="G379" s="71" t="s">
        <v>636</v>
      </c>
      <c r="H379" s="71" t="s">
        <v>371</v>
      </c>
      <c r="I379" s="71" t="s">
        <v>374</v>
      </c>
    </row>
    <row r="380" spans="1:9" ht="87" x14ac:dyDescent="0.35">
      <c r="A380" s="195">
        <v>2</v>
      </c>
      <c r="B380" s="195">
        <v>130</v>
      </c>
      <c r="C380" s="195" t="s">
        <v>765</v>
      </c>
      <c r="D380" s="64">
        <v>80590</v>
      </c>
      <c r="E380" s="195" t="s">
        <v>373</v>
      </c>
      <c r="F380" s="71" t="s">
        <v>508</v>
      </c>
      <c r="G380" s="71" t="s">
        <v>636</v>
      </c>
      <c r="H380" s="71" t="s">
        <v>371</v>
      </c>
      <c r="I380" s="71" t="s">
        <v>376</v>
      </c>
    </row>
    <row r="381" spans="1:9" ht="87" x14ac:dyDescent="0.35">
      <c r="A381" s="195">
        <v>2</v>
      </c>
      <c r="B381" s="195">
        <v>131</v>
      </c>
      <c r="C381" s="195" t="s">
        <v>766</v>
      </c>
      <c r="D381" s="64">
        <v>8830</v>
      </c>
      <c r="E381" s="195" t="s">
        <v>373</v>
      </c>
      <c r="F381" s="71" t="s">
        <v>508</v>
      </c>
      <c r="G381" s="71" t="s">
        <v>636</v>
      </c>
      <c r="H381" s="71" t="s">
        <v>371</v>
      </c>
      <c r="I381" s="71" t="s">
        <v>378</v>
      </c>
    </row>
    <row r="382" spans="1:9" ht="87" x14ac:dyDescent="0.35">
      <c r="A382" s="195">
        <v>2</v>
      </c>
      <c r="B382" s="195">
        <v>132</v>
      </c>
      <c r="C382" s="195" t="s">
        <v>767</v>
      </c>
      <c r="D382" s="195">
        <v>360</v>
      </c>
      <c r="E382" s="195" t="s">
        <v>373</v>
      </c>
      <c r="F382" s="71" t="s">
        <v>508</v>
      </c>
      <c r="G382" s="71" t="s">
        <v>636</v>
      </c>
      <c r="H382" s="71" t="s">
        <v>371</v>
      </c>
      <c r="I382" s="71" t="s">
        <v>380</v>
      </c>
    </row>
    <row r="383" spans="1:9" ht="87" x14ac:dyDescent="0.35">
      <c r="A383" s="195">
        <v>2</v>
      </c>
      <c r="B383" s="195">
        <v>133</v>
      </c>
      <c r="C383" s="195" t="s">
        <v>768</v>
      </c>
      <c r="D383" s="195">
        <v>10</v>
      </c>
      <c r="E383" s="195" t="s">
        <v>373</v>
      </c>
      <c r="F383" s="71" t="s">
        <v>508</v>
      </c>
      <c r="G383" s="71" t="s">
        <v>636</v>
      </c>
      <c r="H383" s="71" t="s">
        <v>371</v>
      </c>
      <c r="I383" s="71" t="s">
        <v>382</v>
      </c>
    </row>
    <row r="384" spans="1:9" ht="87" x14ac:dyDescent="0.35">
      <c r="A384" s="195">
        <v>2</v>
      </c>
      <c r="B384" s="195">
        <v>134</v>
      </c>
      <c r="C384" s="195" t="s">
        <v>769</v>
      </c>
      <c r="D384" s="64">
        <v>38070</v>
      </c>
      <c r="E384" s="195" t="s">
        <v>373</v>
      </c>
      <c r="F384" s="71" t="s">
        <v>508</v>
      </c>
      <c r="G384" s="71" t="s">
        <v>636</v>
      </c>
      <c r="H384" s="71" t="s">
        <v>371</v>
      </c>
      <c r="I384" s="71" t="s">
        <v>384</v>
      </c>
    </row>
    <row r="385" spans="1:9" ht="87" x14ac:dyDescent="0.35">
      <c r="A385" s="195">
        <v>2</v>
      </c>
      <c r="B385" s="195">
        <v>135</v>
      </c>
      <c r="C385" s="195" t="s">
        <v>770</v>
      </c>
      <c r="D385" s="64">
        <v>3135</v>
      </c>
      <c r="E385" s="195" t="s">
        <v>373</v>
      </c>
      <c r="F385" s="71" t="s">
        <v>508</v>
      </c>
      <c r="G385" s="71" t="s">
        <v>636</v>
      </c>
      <c r="H385" s="71" t="s">
        <v>371</v>
      </c>
      <c r="I385" s="71" t="s">
        <v>386</v>
      </c>
    </row>
    <row r="386" spans="1:9" ht="87" x14ac:dyDescent="0.35">
      <c r="A386" s="195">
        <v>2</v>
      </c>
      <c r="B386" s="195">
        <v>136</v>
      </c>
      <c r="C386" s="195" t="s">
        <v>771</v>
      </c>
      <c r="D386" s="64">
        <v>50465</v>
      </c>
      <c r="E386" s="195" t="s">
        <v>366</v>
      </c>
      <c r="F386" s="71" t="s">
        <v>508</v>
      </c>
      <c r="G386" s="71" t="s">
        <v>636</v>
      </c>
      <c r="H386" s="71" t="s">
        <v>388</v>
      </c>
      <c r="I386" s="71" t="s">
        <v>364</v>
      </c>
    </row>
    <row r="387" spans="1:9" ht="87" x14ac:dyDescent="0.35">
      <c r="A387" s="195">
        <v>2</v>
      </c>
      <c r="B387" s="195">
        <v>137</v>
      </c>
      <c r="C387" s="195" t="s">
        <v>772</v>
      </c>
      <c r="D387" s="64">
        <v>16860</v>
      </c>
      <c r="E387" s="195" t="s">
        <v>373</v>
      </c>
      <c r="F387" s="71" t="s">
        <v>508</v>
      </c>
      <c r="G387" s="71" t="s">
        <v>636</v>
      </c>
      <c r="H387" s="71" t="s">
        <v>388</v>
      </c>
      <c r="I387" s="71" t="s">
        <v>374</v>
      </c>
    </row>
    <row r="388" spans="1:9" ht="87" x14ac:dyDescent="0.35">
      <c r="A388" s="195">
        <v>2</v>
      </c>
      <c r="B388" s="195">
        <v>138</v>
      </c>
      <c r="C388" s="195" t="s">
        <v>773</v>
      </c>
      <c r="D388" s="64">
        <v>16565</v>
      </c>
      <c r="E388" s="195" t="s">
        <v>373</v>
      </c>
      <c r="F388" s="71" t="s">
        <v>508</v>
      </c>
      <c r="G388" s="71" t="s">
        <v>636</v>
      </c>
      <c r="H388" s="71" t="s">
        <v>388</v>
      </c>
      <c r="I388" s="71" t="s">
        <v>376</v>
      </c>
    </row>
    <row r="389" spans="1:9" ht="87" x14ac:dyDescent="0.35">
      <c r="A389" s="195">
        <v>2</v>
      </c>
      <c r="B389" s="195">
        <v>139</v>
      </c>
      <c r="C389" s="195" t="s">
        <v>774</v>
      </c>
      <c r="D389" s="64">
        <v>2740</v>
      </c>
      <c r="E389" s="195" t="s">
        <v>373</v>
      </c>
      <c r="F389" s="71" t="s">
        <v>508</v>
      </c>
      <c r="G389" s="71" t="s">
        <v>636</v>
      </c>
      <c r="H389" s="71" t="s">
        <v>388</v>
      </c>
      <c r="I389" s="71" t="s">
        <v>378</v>
      </c>
    </row>
    <row r="390" spans="1:9" ht="87" x14ac:dyDescent="0.35">
      <c r="A390" s="195">
        <v>2</v>
      </c>
      <c r="B390" s="195">
        <v>140</v>
      </c>
      <c r="C390" s="195" t="s">
        <v>775</v>
      </c>
      <c r="D390" s="195">
        <v>95</v>
      </c>
      <c r="E390" s="195" t="s">
        <v>373</v>
      </c>
      <c r="F390" s="71" t="s">
        <v>508</v>
      </c>
      <c r="G390" s="71" t="s">
        <v>636</v>
      </c>
      <c r="H390" s="71" t="s">
        <v>388</v>
      </c>
      <c r="I390" s="71" t="s">
        <v>380</v>
      </c>
    </row>
    <row r="391" spans="1:9" ht="87" x14ac:dyDescent="0.35">
      <c r="A391" s="195">
        <v>2</v>
      </c>
      <c r="B391" s="195">
        <v>141</v>
      </c>
      <c r="C391" s="195" t="s">
        <v>776</v>
      </c>
      <c r="D391" s="195">
        <v>45</v>
      </c>
      <c r="E391" s="195" t="s">
        <v>373</v>
      </c>
      <c r="F391" s="71" t="s">
        <v>508</v>
      </c>
      <c r="G391" s="71" t="s">
        <v>636</v>
      </c>
      <c r="H391" s="71" t="s">
        <v>388</v>
      </c>
      <c r="I391" s="71" t="s">
        <v>382</v>
      </c>
    </row>
    <row r="392" spans="1:9" ht="87" x14ac:dyDescent="0.35">
      <c r="A392" s="195">
        <v>2</v>
      </c>
      <c r="B392" s="195">
        <v>142</v>
      </c>
      <c r="C392" s="195" t="s">
        <v>777</v>
      </c>
      <c r="D392" s="64">
        <v>13045</v>
      </c>
      <c r="E392" s="195" t="s">
        <v>373</v>
      </c>
      <c r="F392" s="71" t="s">
        <v>508</v>
      </c>
      <c r="G392" s="71" t="s">
        <v>636</v>
      </c>
      <c r="H392" s="71" t="s">
        <v>388</v>
      </c>
      <c r="I392" s="71" t="s">
        <v>384</v>
      </c>
    </row>
    <row r="393" spans="1:9" ht="87" x14ac:dyDescent="0.35">
      <c r="A393" s="195">
        <v>2</v>
      </c>
      <c r="B393" s="195">
        <v>143</v>
      </c>
      <c r="C393" s="195" t="s">
        <v>778</v>
      </c>
      <c r="D393" s="64">
        <v>1120</v>
      </c>
      <c r="E393" s="195" t="s">
        <v>373</v>
      </c>
      <c r="F393" s="71" t="s">
        <v>508</v>
      </c>
      <c r="G393" s="71" t="s">
        <v>636</v>
      </c>
      <c r="H393" s="71" t="s">
        <v>388</v>
      </c>
      <c r="I393" s="71" t="s">
        <v>386</v>
      </c>
    </row>
    <row r="394" spans="1:9" ht="87" x14ac:dyDescent="0.35">
      <c r="A394" s="195">
        <v>2</v>
      </c>
      <c r="B394" s="195">
        <v>144</v>
      </c>
      <c r="C394" s="195" t="s">
        <v>779</v>
      </c>
      <c r="D394" s="64">
        <v>17965</v>
      </c>
      <c r="E394" s="195" t="s">
        <v>366</v>
      </c>
      <c r="F394" s="71" t="s">
        <v>508</v>
      </c>
      <c r="G394" s="71" t="s">
        <v>636</v>
      </c>
      <c r="H394" s="71" t="s">
        <v>397</v>
      </c>
      <c r="I394" s="71" t="s">
        <v>364</v>
      </c>
    </row>
    <row r="395" spans="1:9" ht="87" x14ac:dyDescent="0.35">
      <c r="A395" s="195">
        <v>2</v>
      </c>
      <c r="B395" s="195">
        <v>145</v>
      </c>
      <c r="C395" s="195" t="s">
        <v>780</v>
      </c>
      <c r="D395" s="64">
        <v>6385</v>
      </c>
      <c r="E395" s="195" t="s">
        <v>373</v>
      </c>
      <c r="F395" s="71" t="s">
        <v>508</v>
      </c>
      <c r="G395" s="71" t="s">
        <v>636</v>
      </c>
      <c r="H395" s="71" t="s">
        <v>397</v>
      </c>
      <c r="I395" s="71" t="s">
        <v>374</v>
      </c>
    </row>
    <row r="396" spans="1:9" ht="87" x14ac:dyDescent="0.35">
      <c r="A396" s="195">
        <v>2</v>
      </c>
      <c r="B396" s="195">
        <v>146</v>
      </c>
      <c r="C396" s="195" t="s">
        <v>781</v>
      </c>
      <c r="D396" s="64">
        <v>3550</v>
      </c>
      <c r="E396" s="195" t="s">
        <v>373</v>
      </c>
      <c r="F396" s="71" t="s">
        <v>508</v>
      </c>
      <c r="G396" s="71" t="s">
        <v>636</v>
      </c>
      <c r="H396" s="71" t="s">
        <v>397</v>
      </c>
      <c r="I396" s="71" t="s">
        <v>376</v>
      </c>
    </row>
    <row r="397" spans="1:9" ht="87" x14ac:dyDescent="0.35">
      <c r="A397" s="195">
        <v>2</v>
      </c>
      <c r="B397" s="195">
        <v>147</v>
      </c>
      <c r="C397" s="195" t="s">
        <v>782</v>
      </c>
      <c r="D397" s="64">
        <v>1515</v>
      </c>
      <c r="E397" s="195" t="s">
        <v>373</v>
      </c>
      <c r="F397" s="71" t="s">
        <v>508</v>
      </c>
      <c r="G397" s="71" t="s">
        <v>636</v>
      </c>
      <c r="H397" s="71" t="s">
        <v>397</v>
      </c>
      <c r="I397" s="71" t="s">
        <v>378</v>
      </c>
    </row>
    <row r="398" spans="1:9" ht="87" x14ac:dyDescent="0.35">
      <c r="A398" s="195">
        <v>2</v>
      </c>
      <c r="B398" s="195">
        <v>148</v>
      </c>
      <c r="C398" s="195" t="s">
        <v>783</v>
      </c>
      <c r="D398" s="195">
        <v>0</v>
      </c>
      <c r="E398" s="195" t="s">
        <v>373</v>
      </c>
      <c r="F398" s="71" t="s">
        <v>508</v>
      </c>
      <c r="G398" s="71" t="s">
        <v>636</v>
      </c>
      <c r="H398" s="71" t="s">
        <v>397</v>
      </c>
      <c r="I398" s="71" t="s">
        <v>380</v>
      </c>
    </row>
    <row r="399" spans="1:9" ht="87" x14ac:dyDescent="0.35">
      <c r="A399" s="195">
        <v>2</v>
      </c>
      <c r="B399" s="195">
        <v>149</v>
      </c>
      <c r="C399" s="195" t="s">
        <v>784</v>
      </c>
      <c r="D399" s="195">
        <v>0</v>
      </c>
      <c r="E399" s="195" t="s">
        <v>373</v>
      </c>
      <c r="F399" s="71" t="s">
        <v>508</v>
      </c>
      <c r="G399" s="71" t="s">
        <v>636</v>
      </c>
      <c r="H399" s="71" t="s">
        <v>397</v>
      </c>
      <c r="I399" s="71" t="s">
        <v>382</v>
      </c>
    </row>
    <row r="400" spans="1:9" ht="87" x14ac:dyDescent="0.35">
      <c r="A400" s="195">
        <v>2</v>
      </c>
      <c r="B400" s="195">
        <v>150</v>
      </c>
      <c r="C400" s="195" t="s">
        <v>785</v>
      </c>
      <c r="D400" s="64">
        <v>6205</v>
      </c>
      <c r="E400" s="195" t="s">
        <v>373</v>
      </c>
      <c r="F400" s="71" t="s">
        <v>508</v>
      </c>
      <c r="G400" s="71" t="s">
        <v>636</v>
      </c>
      <c r="H400" s="71" t="s">
        <v>397</v>
      </c>
      <c r="I400" s="71" t="s">
        <v>384</v>
      </c>
    </row>
    <row r="401" spans="1:9" ht="87" x14ac:dyDescent="0.35">
      <c r="A401" s="195">
        <v>2</v>
      </c>
      <c r="B401" s="195">
        <v>151</v>
      </c>
      <c r="C401" s="195" t="s">
        <v>786</v>
      </c>
      <c r="D401" s="195">
        <v>310</v>
      </c>
      <c r="E401" s="195" t="s">
        <v>373</v>
      </c>
      <c r="F401" s="71" t="s">
        <v>508</v>
      </c>
      <c r="G401" s="71" t="s">
        <v>636</v>
      </c>
      <c r="H401" s="71" t="s">
        <v>397</v>
      </c>
      <c r="I401" s="71" t="s">
        <v>386</v>
      </c>
    </row>
    <row r="402" spans="1:9" ht="87" x14ac:dyDescent="0.35">
      <c r="A402" s="195">
        <v>2</v>
      </c>
      <c r="B402" s="195">
        <v>152</v>
      </c>
      <c r="C402" s="195" t="s">
        <v>787</v>
      </c>
      <c r="D402" s="64">
        <v>4565</v>
      </c>
      <c r="E402" s="195" t="s">
        <v>366</v>
      </c>
      <c r="F402" s="71" t="s">
        <v>508</v>
      </c>
      <c r="G402" s="71" t="s">
        <v>636</v>
      </c>
      <c r="H402" s="71" t="s">
        <v>406</v>
      </c>
      <c r="I402" s="71" t="s">
        <v>364</v>
      </c>
    </row>
    <row r="403" spans="1:9" ht="87" x14ac:dyDescent="0.35">
      <c r="A403" s="195">
        <v>2</v>
      </c>
      <c r="B403" s="195">
        <v>153</v>
      </c>
      <c r="C403" s="195" t="s">
        <v>788</v>
      </c>
      <c r="D403" s="64">
        <v>1635</v>
      </c>
      <c r="E403" s="195" t="s">
        <v>373</v>
      </c>
      <c r="F403" s="71" t="s">
        <v>508</v>
      </c>
      <c r="G403" s="71" t="s">
        <v>636</v>
      </c>
      <c r="H403" s="71" t="s">
        <v>406</v>
      </c>
      <c r="I403" s="71" t="s">
        <v>374</v>
      </c>
    </row>
    <row r="404" spans="1:9" ht="87" x14ac:dyDescent="0.35">
      <c r="A404" s="195">
        <v>2</v>
      </c>
      <c r="B404" s="195">
        <v>154</v>
      </c>
      <c r="C404" s="195" t="s">
        <v>789</v>
      </c>
      <c r="D404" s="195">
        <v>675</v>
      </c>
      <c r="E404" s="195" t="s">
        <v>373</v>
      </c>
      <c r="F404" s="71" t="s">
        <v>508</v>
      </c>
      <c r="G404" s="71" t="s">
        <v>636</v>
      </c>
      <c r="H404" s="71" t="s">
        <v>406</v>
      </c>
      <c r="I404" s="71" t="s">
        <v>376</v>
      </c>
    </row>
    <row r="405" spans="1:9" ht="87" x14ac:dyDescent="0.35">
      <c r="A405" s="195">
        <v>2</v>
      </c>
      <c r="B405" s="195">
        <v>155</v>
      </c>
      <c r="C405" s="195" t="s">
        <v>790</v>
      </c>
      <c r="D405" s="195">
        <v>890</v>
      </c>
      <c r="E405" s="195" t="s">
        <v>373</v>
      </c>
      <c r="F405" s="71" t="s">
        <v>508</v>
      </c>
      <c r="G405" s="71" t="s">
        <v>636</v>
      </c>
      <c r="H405" s="71" t="s">
        <v>406</v>
      </c>
      <c r="I405" s="71" t="s">
        <v>378</v>
      </c>
    </row>
    <row r="406" spans="1:9" ht="87" x14ac:dyDescent="0.35">
      <c r="A406" s="195">
        <v>2</v>
      </c>
      <c r="B406" s="195">
        <v>156</v>
      </c>
      <c r="C406" s="195" t="s">
        <v>791</v>
      </c>
      <c r="D406" s="195">
        <v>0</v>
      </c>
      <c r="E406" s="195" t="s">
        <v>373</v>
      </c>
      <c r="F406" s="71" t="s">
        <v>508</v>
      </c>
      <c r="G406" s="71" t="s">
        <v>636</v>
      </c>
      <c r="H406" s="71" t="s">
        <v>406</v>
      </c>
      <c r="I406" s="71" t="s">
        <v>380</v>
      </c>
    </row>
    <row r="407" spans="1:9" ht="87" x14ac:dyDescent="0.35">
      <c r="A407" s="195">
        <v>2</v>
      </c>
      <c r="B407" s="195">
        <v>157</v>
      </c>
      <c r="C407" s="195" t="s">
        <v>792</v>
      </c>
      <c r="D407" s="195">
        <v>0</v>
      </c>
      <c r="E407" s="195" t="s">
        <v>373</v>
      </c>
      <c r="F407" s="71" t="s">
        <v>508</v>
      </c>
      <c r="G407" s="71" t="s">
        <v>636</v>
      </c>
      <c r="H407" s="71" t="s">
        <v>406</v>
      </c>
      <c r="I407" s="71" t="s">
        <v>382</v>
      </c>
    </row>
    <row r="408" spans="1:9" ht="87" x14ac:dyDescent="0.35">
      <c r="A408" s="195">
        <v>2</v>
      </c>
      <c r="B408" s="195">
        <v>158</v>
      </c>
      <c r="C408" s="195" t="s">
        <v>793</v>
      </c>
      <c r="D408" s="64">
        <v>1335</v>
      </c>
      <c r="E408" s="195" t="s">
        <v>373</v>
      </c>
      <c r="F408" s="71" t="s">
        <v>508</v>
      </c>
      <c r="G408" s="71" t="s">
        <v>636</v>
      </c>
      <c r="H408" s="71" t="s">
        <v>406</v>
      </c>
      <c r="I408" s="71" t="s">
        <v>384</v>
      </c>
    </row>
    <row r="409" spans="1:9" ht="87" x14ac:dyDescent="0.35">
      <c r="A409" s="195">
        <v>2</v>
      </c>
      <c r="B409" s="195">
        <v>159</v>
      </c>
      <c r="C409" s="195" t="s">
        <v>794</v>
      </c>
      <c r="D409" s="195">
        <v>35</v>
      </c>
      <c r="E409" s="195" t="s">
        <v>373</v>
      </c>
      <c r="F409" s="71" t="s">
        <v>508</v>
      </c>
      <c r="G409" s="71" t="s">
        <v>636</v>
      </c>
      <c r="H409" s="71" t="s">
        <v>406</v>
      </c>
      <c r="I409" s="71" t="s">
        <v>386</v>
      </c>
    </row>
    <row r="410" spans="1:9" ht="87" x14ac:dyDescent="0.35">
      <c r="A410" s="195">
        <v>2</v>
      </c>
      <c r="B410" s="195">
        <v>160</v>
      </c>
      <c r="C410" s="195" t="s">
        <v>795</v>
      </c>
      <c r="D410" s="64">
        <v>7610</v>
      </c>
      <c r="E410" s="195" t="s">
        <v>366</v>
      </c>
      <c r="F410" s="71" t="s">
        <v>508</v>
      </c>
      <c r="G410" s="71" t="s">
        <v>636</v>
      </c>
      <c r="H410" s="71" t="s">
        <v>415</v>
      </c>
      <c r="I410" s="71" t="s">
        <v>364</v>
      </c>
    </row>
    <row r="411" spans="1:9" ht="87" x14ac:dyDescent="0.35">
      <c r="A411" s="195">
        <v>2</v>
      </c>
      <c r="B411" s="195">
        <v>161</v>
      </c>
      <c r="C411" s="195" t="s">
        <v>796</v>
      </c>
      <c r="D411" s="64">
        <v>3150</v>
      </c>
      <c r="E411" s="195" t="s">
        <v>373</v>
      </c>
      <c r="F411" s="71" t="s">
        <v>508</v>
      </c>
      <c r="G411" s="71" t="s">
        <v>636</v>
      </c>
      <c r="H411" s="71" t="s">
        <v>415</v>
      </c>
      <c r="I411" s="71" t="s">
        <v>374</v>
      </c>
    </row>
    <row r="412" spans="1:9" ht="87" x14ac:dyDescent="0.35">
      <c r="A412" s="195">
        <v>2</v>
      </c>
      <c r="B412" s="195">
        <v>162</v>
      </c>
      <c r="C412" s="195" t="s">
        <v>797</v>
      </c>
      <c r="D412" s="64">
        <v>1380</v>
      </c>
      <c r="E412" s="195" t="s">
        <v>373</v>
      </c>
      <c r="F412" s="71" t="s">
        <v>508</v>
      </c>
      <c r="G412" s="71" t="s">
        <v>636</v>
      </c>
      <c r="H412" s="71" t="s">
        <v>415</v>
      </c>
      <c r="I412" s="71" t="s">
        <v>376</v>
      </c>
    </row>
    <row r="413" spans="1:9" ht="87" x14ac:dyDescent="0.35">
      <c r="A413" s="195">
        <v>2</v>
      </c>
      <c r="B413" s="195">
        <v>163</v>
      </c>
      <c r="C413" s="195" t="s">
        <v>798</v>
      </c>
      <c r="D413" s="64">
        <v>1175</v>
      </c>
      <c r="E413" s="195" t="s">
        <v>373</v>
      </c>
      <c r="F413" s="71" t="s">
        <v>508</v>
      </c>
      <c r="G413" s="71" t="s">
        <v>636</v>
      </c>
      <c r="H413" s="71" t="s">
        <v>415</v>
      </c>
      <c r="I413" s="71" t="s">
        <v>378</v>
      </c>
    </row>
    <row r="414" spans="1:9" ht="87" x14ac:dyDescent="0.35">
      <c r="A414" s="195">
        <v>2</v>
      </c>
      <c r="B414" s="195">
        <v>164</v>
      </c>
      <c r="C414" s="195" t="s">
        <v>799</v>
      </c>
      <c r="D414" s="195">
        <v>0</v>
      </c>
      <c r="E414" s="195" t="s">
        <v>373</v>
      </c>
      <c r="F414" s="71" t="s">
        <v>508</v>
      </c>
      <c r="G414" s="71" t="s">
        <v>636</v>
      </c>
      <c r="H414" s="71" t="s">
        <v>415</v>
      </c>
      <c r="I414" s="71" t="s">
        <v>380</v>
      </c>
    </row>
    <row r="415" spans="1:9" ht="87" x14ac:dyDescent="0.35">
      <c r="A415" s="195">
        <v>2</v>
      </c>
      <c r="B415" s="195">
        <v>165</v>
      </c>
      <c r="C415" s="195" t="s">
        <v>800</v>
      </c>
      <c r="D415" s="195">
        <v>0</v>
      </c>
      <c r="E415" s="195" t="s">
        <v>373</v>
      </c>
      <c r="F415" s="71" t="s">
        <v>508</v>
      </c>
      <c r="G415" s="71" t="s">
        <v>636</v>
      </c>
      <c r="H415" s="71" t="s">
        <v>415</v>
      </c>
      <c r="I415" s="71" t="s">
        <v>382</v>
      </c>
    </row>
    <row r="416" spans="1:9" ht="87" x14ac:dyDescent="0.35">
      <c r="A416" s="195">
        <v>2</v>
      </c>
      <c r="B416" s="195">
        <v>166</v>
      </c>
      <c r="C416" s="195" t="s">
        <v>801</v>
      </c>
      <c r="D416" s="64">
        <v>1830</v>
      </c>
      <c r="E416" s="195" t="s">
        <v>373</v>
      </c>
      <c r="F416" s="71" t="s">
        <v>508</v>
      </c>
      <c r="G416" s="71" t="s">
        <v>636</v>
      </c>
      <c r="H416" s="71" t="s">
        <v>415</v>
      </c>
      <c r="I416" s="71" t="s">
        <v>384</v>
      </c>
    </row>
    <row r="417" spans="1:9" ht="87" x14ac:dyDescent="0.35">
      <c r="A417" s="195">
        <v>2</v>
      </c>
      <c r="B417" s="195">
        <v>167</v>
      </c>
      <c r="C417" s="195" t="s">
        <v>802</v>
      </c>
      <c r="D417" s="195">
        <v>75</v>
      </c>
      <c r="E417" s="195" t="s">
        <v>373</v>
      </c>
      <c r="F417" s="71" t="s">
        <v>508</v>
      </c>
      <c r="G417" s="71" t="s">
        <v>636</v>
      </c>
      <c r="H417" s="71" t="s">
        <v>415</v>
      </c>
      <c r="I417" s="71" t="s">
        <v>386</v>
      </c>
    </row>
    <row r="418" spans="1:9" ht="43.5" x14ac:dyDescent="0.35">
      <c r="A418" s="195">
        <v>2</v>
      </c>
      <c r="B418" s="195">
        <v>168</v>
      </c>
      <c r="C418" s="195" t="s">
        <v>803</v>
      </c>
      <c r="D418" s="64">
        <v>562320</v>
      </c>
      <c r="E418" s="195" t="s">
        <v>366</v>
      </c>
      <c r="F418" s="71" t="s">
        <v>508</v>
      </c>
      <c r="G418" s="71" t="s">
        <v>678</v>
      </c>
      <c r="H418" s="71" t="s">
        <v>363</v>
      </c>
      <c r="I418" s="71" t="s">
        <v>364</v>
      </c>
    </row>
    <row r="419" spans="1:9" ht="43.5" x14ac:dyDescent="0.35">
      <c r="A419" s="195">
        <v>2</v>
      </c>
      <c r="B419" s="195">
        <v>169</v>
      </c>
      <c r="C419" s="195" t="s">
        <v>804</v>
      </c>
      <c r="D419" s="64">
        <v>59700</v>
      </c>
      <c r="E419" s="195" t="s">
        <v>366</v>
      </c>
      <c r="F419" s="71" t="s">
        <v>508</v>
      </c>
      <c r="G419" s="71" t="s">
        <v>678</v>
      </c>
      <c r="H419" s="71" t="s">
        <v>371</v>
      </c>
      <c r="I419" s="71" t="s">
        <v>364</v>
      </c>
    </row>
    <row r="420" spans="1:9" ht="43.5" x14ac:dyDescent="0.35">
      <c r="A420" s="195">
        <v>2</v>
      </c>
      <c r="B420" s="195">
        <v>170</v>
      </c>
      <c r="C420" s="195" t="s">
        <v>805</v>
      </c>
      <c r="D420" s="64">
        <v>12705</v>
      </c>
      <c r="E420" s="195" t="s">
        <v>373</v>
      </c>
      <c r="F420" s="71" t="s">
        <v>508</v>
      </c>
      <c r="G420" s="71" t="s">
        <v>678</v>
      </c>
      <c r="H420" s="71" t="s">
        <v>371</v>
      </c>
      <c r="I420" s="71" t="s">
        <v>374</v>
      </c>
    </row>
    <row r="421" spans="1:9" ht="43.5" x14ac:dyDescent="0.35">
      <c r="A421" s="195">
        <v>2</v>
      </c>
      <c r="B421" s="195">
        <v>171</v>
      </c>
      <c r="C421" s="195" t="s">
        <v>806</v>
      </c>
      <c r="D421" s="64">
        <v>29810</v>
      </c>
      <c r="E421" s="195" t="s">
        <v>373</v>
      </c>
      <c r="F421" s="71" t="s">
        <v>508</v>
      </c>
      <c r="G421" s="71" t="s">
        <v>678</v>
      </c>
      <c r="H421" s="71" t="s">
        <v>371</v>
      </c>
      <c r="I421" s="71" t="s">
        <v>376</v>
      </c>
    </row>
    <row r="422" spans="1:9" ht="43.5" x14ac:dyDescent="0.35">
      <c r="A422" s="195">
        <v>2</v>
      </c>
      <c r="B422" s="195">
        <v>172</v>
      </c>
      <c r="C422" s="195" t="s">
        <v>807</v>
      </c>
      <c r="D422" s="64">
        <v>3465</v>
      </c>
      <c r="E422" s="195" t="s">
        <v>373</v>
      </c>
      <c r="F422" s="71" t="s">
        <v>508</v>
      </c>
      <c r="G422" s="71" t="s">
        <v>678</v>
      </c>
      <c r="H422" s="71" t="s">
        <v>371</v>
      </c>
      <c r="I422" s="71" t="s">
        <v>378</v>
      </c>
    </row>
    <row r="423" spans="1:9" ht="43.5" x14ac:dyDescent="0.35">
      <c r="A423" s="195">
        <v>2</v>
      </c>
      <c r="B423" s="195">
        <v>173</v>
      </c>
      <c r="C423" s="195" t="s">
        <v>808</v>
      </c>
      <c r="D423" s="195">
        <v>85</v>
      </c>
      <c r="E423" s="195" t="s">
        <v>373</v>
      </c>
      <c r="F423" s="71" t="s">
        <v>508</v>
      </c>
      <c r="G423" s="71" t="s">
        <v>678</v>
      </c>
      <c r="H423" s="71" t="s">
        <v>371</v>
      </c>
      <c r="I423" s="71" t="s">
        <v>380</v>
      </c>
    </row>
    <row r="424" spans="1:9" ht="43.5" x14ac:dyDescent="0.35">
      <c r="A424" s="195">
        <v>2</v>
      </c>
      <c r="B424" s="195">
        <v>174</v>
      </c>
      <c r="C424" s="195" t="s">
        <v>809</v>
      </c>
      <c r="D424" s="195">
        <v>10</v>
      </c>
      <c r="E424" s="195" t="s">
        <v>373</v>
      </c>
      <c r="F424" s="71" t="s">
        <v>508</v>
      </c>
      <c r="G424" s="71" t="s">
        <v>678</v>
      </c>
      <c r="H424" s="71" t="s">
        <v>371</v>
      </c>
      <c r="I424" s="71" t="s">
        <v>382</v>
      </c>
    </row>
    <row r="425" spans="1:9" ht="43.5" x14ac:dyDescent="0.35">
      <c r="A425" s="195">
        <v>2</v>
      </c>
      <c r="B425" s="195">
        <v>175</v>
      </c>
      <c r="C425" s="195" t="s">
        <v>810</v>
      </c>
      <c r="D425" s="64">
        <v>12675</v>
      </c>
      <c r="E425" s="195" t="s">
        <v>373</v>
      </c>
      <c r="F425" s="71" t="s">
        <v>508</v>
      </c>
      <c r="G425" s="71" t="s">
        <v>678</v>
      </c>
      <c r="H425" s="71" t="s">
        <v>371</v>
      </c>
      <c r="I425" s="71" t="s">
        <v>384</v>
      </c>
    </row>
    <row r="426" spans="1:9" ht="43.5" x14ac:dyDescent="0.35">
      <c r="A426" s="195">
        <v>2</v>
      </c>
      <c r="B426" s="195">
        <v>176</v>
      </c>
      <c r="C426" s="195" t="s">
        <v>811</v>
      </c>
      <c r="D426" s="195">
        <v>955</v>
      </c>
      <c r="E426" s="195" t="s">
        <v>373</v>
      </c>
      <c r="F426" s="71" t="s">
        <v>508</v>
      </c>
      <c r="G426" s="71" t="s">
        <v>678</v>
      </c>
      <c r="H426" s="71" t="s">
        <v>371</v>
      </c>
      <c r="I426" s="71" t="s">
        <v>386</v>
      </c>
    </row>
    <row r="427" spans="1:9" ht="43.5" x14ac:dyDescent="0.35">
      <c r="A427" s="195">
        <v>2</v>
      </c>
      <c r="B427" s="195">
        <v>177</v>
      </c>
      <c r="C427" s="195" t="s">
        <v>812</v>
      </c>
      <c r="D427" s="64">
        <v>97405</v>
      </c>
      <c r="E427" s="195" t="s">
        <v>366</v>
      </c>
      <c r="F427" s="71" t="s">
        <v>508</v>
      </c>
      <c r="G427" s="71" t="s">
        <v>678</v>
      </c>
      <c r="H427" s="71" t="s">
        <v>388</v>
      </c>
      <c r="I427" s="71" t="s">
        <v>364</v>
      </c>
    </row>
    <row r="428" spans="1:9" ht="43.5" x14ac:dyDescent="0.35">
      <c r="A428" s="195">
        <v>2</v>
      </c>
      <c r="B428" s="195">
        <v>178</v>
      </c>
      <c r="C428" s="195" t="s">
        <v>813</v>
      </c>
      <c r="D428" s="64">
        <v>24925</v>
      </c>
      <c r="E428" s="195" t="s">
        <v>373</v>
      </c>
      <c r="F428" s="71" t="s">
        <v>508</v>
      </c>
      <c r="G428" s="71" t="s">
        <v>678</v>
      </c>
      <c r="H428" s="71" t="s">
        <v>388</v>
      </c>
      <c r="I428" s="71" t="s">
        <v>374</v>
      </c>
    </row>
    <row r="429" spans="1:9" ht="43.5" x14ac:dyDescent="0.35">
      <c r="A429" s="195">
        <v>2</v>
      </c>
      <c r="B429" s="195">
        <v>179</v>
      </c>
      <c r="C429" s="195" t="s">
        <v>814</v>
      </c>
      <c r="D429" s="64">
        <v>36245</v>
      </c>
      <c r="E429" s="195" t="s">
        <v>373</v>
      </c>
      <c r="F429" s="71" t="s">
        <v>508</v>
      </c>
      <c r="G429" s="71" t="s">
        <v>678</v>
      </c>
      <c r="H429" s="71" t="s">
        <v>388</v>
      </c>
      <c r="I429" s="71" t="s">
        <v>376</v>
      </c>
    </row>
    <row r="430" spans="1:9" ht="43.5" x14ac:dyDescent="0.35">
      <c r="A430" s="195">
        <v>2</v>
      </c>
      <c r="B430" s="195">
        <v>180</v>
      </c>
      <c r="C430" s="195" t="s">
        <v>815</v>
      </c>
      <c r="D430" s="64">
        <v>3745</v>
      </c>
      <c r="E430" s="195" t="s">
        <v>373</v>
      </c>
      <c r="F430" s="71" t="s">
        <v>508</v>
      </c>
      <c r="G430" s="71" t="s">
        <v>678</v>
      </c>
      <c r="H430" s="71" t="s">
        <v>388</v>
      </c>
      <c r="I430" s="71" t="s">
        <v>378</v>
      </c>
    </row>
    <row r="431" spans="1:9" ht="43.5" x14ac:dyDescent="0.35">
      <c r="A431" s="195">
        <v>2</v>
      </c>
      <c r="B431" s="195">
        <v>181</v>
      </c>
      <c r="C431" s="195" t="s">
        <v>816</v>
      </c>
      <c r="D431" s="195">
        <v>135</v>
      </c>
      <c r="E431" s="195" t="s">
        <v>373</v>
      </c>
      <c r="F431" s="71" t="s">
        <v>508</v>
      </c>
      <c r="G431" s="71" t="s">
        <v>678</v>
      </c>
      <c r="H431" s="71" t="s">
        <v>388</v>
      </c>
      <c r="I431" s="71" t="s">
        <v>380</v>
      </c>
    </row>
    <row r="432" spans="1:9" ht="43.5" x14ac:dyDescent="0.35">
      <c r="A432" s="195">
        <v>2</v>
      </c>
      <c r="B432" s="195">
        <v>182</v>
      </c>
      <c r="C432" s="195" t="s">
        <v>817</v>
      </c>
      <c r="D432" s="195">
        <v>0</v>
      </c>
      <c r="E432" s="195" t="s">
        <v>373</v>
      </c>
      <c r="F432" s="71" t="s">
        <v>508</v>
      </c>
      <c r="G432" s="71" t="s">
        <v>678</v>
      </c>
      <c r="H432" s="71" t="s">
        <v>388</v>
      </c>
      <c r="I432" s="71" t="s">
        <v>382</v>
      </c>
    </row>
    <row r="433" spans="1:9" ht="43.5" x14ac:dyDescent="0.35">
      <c r="A433" s="195">
        <v>2</v>
      </c>
      <c r="B433" s="195">
        <v>183</v>
      </c>
      <c r="C433" s="195" t="s">
        <v>818</v>
      </c>
      <c r="D433" s="64">
        <v>30870</v>
      </c>
      <c r="E433" s="195" t="s">
        <v>373</v>
      </c>
      <c r="F433" s="71" t="s">
        <v>508</v>
      </c>
      <c r="G433" s="71" t="s">
        <v>678</v>
      </c>
      <c r="H433" s="71" t="s">
        <v>388</v>
      </c>
      <c r="I433" s="71" t="s">
        <v>384</v>
      </c>
    </row>
    <row r="434" spans="1:9" ht="43.5" x14ac:dyDescent="0.35">
      <c r="A434" s="195">
        <v>2</v>
      </c>
      <c r="B434" s="195">
        <v>184</v>
      </c>
      <c r="C434" s="195" t="s">
        <v>819</v>
      </c>
      <c r="D434" s="64">
        <v>1480</v>
      </c>
      <c r="E434" s="195" t="s">
        <v>373</v>
      </c>
      <c r="F434" s="71" t="s">
        <v>508</v>
      </c>
      <c r="G434" s="71" t="s">
        <v>678</v>
      </c>
      <c r="H434" s="71" t="s">
        <v>388</v>
      </c>
      <c r="I434" s="71" t="s">
        <v>386</v>
      </c>
    </row>
    <row r="435" spans="1:9" ht="43.5" x14ac:dyDescent="0.35">
      <c r="A435" s="195">
        <v>2</v>
      </c>
      <c r="B435" s="195">
        <v>185</v>
      </c>
      <c r="C435" s="195" t="s">
        <v>820</v>
      </c>
      <c r="D435" s="64">
        <v>135460</v>
      </c>
      <c r="E435" s="195" t="s">
        <v>366</v>
      </c>
      <c r="F435" s="71" t="s">
        <v>508</v>
      </c>
      <c r="G435" s="71" t="s">
        <v>678</v>
      </c>
      <c r="H435" s="71" t="s">
        <v>397</v>
      </c>
      <c r="I435" s="71" t="s">
        <v>364</v>
      </c>
    </row>
    <row r="436" spans="1:9" ht="43.5" x14ac:dyDescent="0.35">
      <c r="A436" s="195">
        <v>2</v>
      </c>
      <c r="B436" s="195">
        <v>186</v>
      </c>
      <c r="C436" s="195" t="s">
        <v>821</v>
      </c>
      <c r="D436" s="64">
        <v>48910</v>
      </c>
      <c r="E436" s="195" t="s">
        <v>373</v>
      </c>
      <c r="F436" s="71" t="s">
        <v>508</v>
      </c>
      <c r="G436" s="71" t="s">
        <v>678</v>
      </c>
      <c r="H436" s="71" t="s">
        <v>397</v>
      </c>
      <c r="I436" s="71" t="s">
        <v>374</v>
      </c>
    </row>
    <row r="437" spans="1:9" ht="43.5" x14ac:dyDescent="0.35">
      <c r="A437" s="195">
        <v>2</v>
      </c>
      <c r="B437" s="195">
        <v>187</v>
      </c>
      <c r="C437" s="195" t="s">
        <v>822</v>
      </c>
      <c r="D437" s="64">
        <v>43440</v>
      </c>
      <c r="E437" s="195" t="s">
        <v>373</v>
      </c>
      <c r="F437" s="71" t="s">
        <v>508</v>
      </c>
      <c r="G437" s="71" t="s">
        <v>678</v>
      </c>
      <c r="H437" s="71" t="s">
        <v>397</v>
      </c>
      <c r="I437" s="71" t="s">
        <v>376</v>
      </c>
    </row>
    <row r="438" spans="1:9" ht="43.5" x14ac:dyDescent="0.35">
      <c r="A438" s="195">
        <v>2</v>
      </c>
      <c r="B438" s="195">
        <v>188</v>
      </c>
      <c r="C438" s="195" t="s">
        <v>823</v>
      </c>
      <c r="D438" s="64">
        <v>6510</v>
      </c>
      <c r="E438" s="195" t="s">
        <v>373</v>
      </c>
      <c r="F438" s="71" t="s">
        <v>508</v>
      </c>
      <c r="G438" s="71" t="s">
        <v>678</v>
      </c>
      <c r="H438" s="71" t="s">
        <v>397</v>
      </c>
      <c r="I438" s="71" t="s">
        <v>378</v>
      </c>
    </row>
    <row r="439" spans="1:9" ht="43.5" x14ac:dyDescent="0.35">
      <c r="A439" s="195">
        <v>2</v>
      </c>
      <c r="B439" s="195">
        <v>189</v>
      </c>
      <c r="C439" s="195" t="s">
        <v>824</v>
      </c>
      <c r="D439" s="195">
        <v>515</v>
      </c>
      <c r="E439" s="195" t="s">
        <v>373</v>
      </c>
      <c r="F439" s="71" t="s">
        <v>508</v>
      </c>
      <c r="G439" s="71" t="s">
        <v>678</v>
      </c>
      <c r="H439" s="71" t="s">
        <v>397</v>
      </c>
      <c r="I439" s="71" t="s">
        <v>380</v>
      </c>
    </row>
    <row r="440" spans="1:9" ht="43.5" x14ac:dyDescent="0.35">
      <c r="A440" s="195">
        <v>2</v>
      </c>
      <c r="B440" s="195">
        <v>190</v>
      </c>
      <c r="C440" s="195" t="s">
        <v>825</v>
      </c>
      <c r="D440" s="195">
        <v>25</v>
      </c>
      <c r="E440" s="195" t="s">
        <v>373</v>
      </c>
      <c r="F440" s="71" t="s">
        <v>508</v>
      </c>
      <c r="G440" s="71" t="s">
        <v>678</v>
      </c>
      <c r="H440" s="71" t="s">
        <v>397</v>
      </c>
      <c r="I440" s="71" t="s">
        <v>382</v>
      </c>
    </row>
    <row r="441" spans="1:9" ht="43.5" x14ac:dyDescent="0.35">
      <c r="A441" s="195">
        <v>2</v>
      </c>
      <c r="B441" s="195">
        <v>191</v>
      </c>
      <c r="C441" s="195" t="s">
        <v>826</v>
      </c>
      <c r="D441" s="64">
        <v>33380</v>
      </c>
      <c r="E441" s="195" t="s">
        <v>373</v>
      </c>
      <c r="F441" s="71" t="s">
        <v>508</v>
      </c>
      <c r="G441" s="71" t="s">
        <v>678</v>
      </c>
      <c r="H441" s="71" t="s">
        <v>397</v>
      </c>
      <c r="I441" s="71" t="s">
        <v>384</v>
      </c>
    </row>
    <row r="442" spans="1:9" ht="43.5" x14ac:dyDescent="0.35">
      <c r="A442" s="195">
        <v>2</v>
      </c>
      <c r="B442" s="195">
        <v>192</v>
      </c>
      <c r="C442" s="195" t="s">
        <v>827</v>
      </c>
      <c r="D442" s="64">
        <v>2675</v>
      </c>
      <c r="E442" s="195" t="s">
        <v>373</v>
      </c>
      <c r="F442" s="71" t="s">
        <v>508</v>
      </c>
      <c r="G442" s="71" t="s">
        <v>678</v>
      </c>
      <c r="H442" s="71" t="s">
        <v>397</v>
      </c>
      <c r="I442" s="71" t="s">
        <v>386</v>
      </c>
    </row>
    <row r="443" spans="1:9" ht="43.5" x14ac:dyDescent="0.35">
      <c r="A443" s="195">
        <v>2</v>
      </c>
      <c r="B443" s="195">
        <v>193</v>
      </c>
      <c r="C443" s="195" t="s">
        <v>828</v>
      </c>
      <c r="D443" s="64">
        <v>68440</v>
      </c>
      <c r="E443" s="195" t="s">
        <v>366</v>
      </c>
      <c r="F443" s="71" t="s">
        <v>508</v>
      </c>
      <c r="G443" s="71" t="s">
        <v>678</v>
      </c>
      <c r="H443" s="71" t="s">
        <v>406</v>
      </c>
      <c r="I443" s="71" t="s">
        <v>364</v>
      </c>
    </row>
    <row r="444" spans="1:9" ht="43.5" x14ac:dyDescent="0.35">
      <c r="A444" s="195">
        <v>2</v>
      </c>
      <c r="B444" s="195">
        <v>194</v>
      </c>
      <c r="C444" s="195" t="s">
        <v>829</v>
      </c>
      <c r="D444" s="64">
        <v>31770</v>
      </c>
      <c r="E444" s="195" t="s">
        <v>373</v>
      </c>
      <c r="F444" s="71" t="s">
        <v>508</v>
      </c>
      <c r="G444" s="71" t="s">
        <v>678</v>
      </c>
      <c r="H444" s="71" t="s">
        <v>406</v>
      </c>
      <c r="I444" s="71" t="s">
        <v>374</v>
      </c>
    </row>
    <row r="445" spans="1:9" ht="43.5" x14ac:dyDescent="0.35">
      <c r="A445" s="195">
        <v>2</v>
      </c>
      <c r="B445" s="195">
        <v>195</v>
      </c>
      <c r="C445" s="195" t="s">
        <v>830</v>
      </c>
      <c r="D445" s="64">
        <v>17300</v>
      </c>
      <c r="E445" s="195" t="s">
        <v>373</v>
      </c>
      <c r="F445" s="71" t="s">
        <v>508</v>
      </c>
      <c r="G445" s="71" t="s">
        <v>678</v>
      </c>
      <c r="H445" s="71" t="s">
        <v>406</v>
      </c>
      <c r="I445" s="71" t="s">
        <v>376</v>
      </c>
    </row>
    <row r="446" spans="1:9" ht="43.5" x14ac:dyDescent="0.35">
      <c r="A446" s="195">
        <v>2</v>
      </c>
      <c r="B446" s="195">
        <v>196</v>
      </c>
      <c r="C446" s="195" t="s">
        <v>831</v>
      </c>
      <c r="D446" s="64">
        <v>4815</v>
      </c>
      <c r="E446" s="195" t="s">
        <v>373</v>
      </c>
      <c r="F446" s="71" t="s">
        <v>508</v>
      </c>
      <c r="G446" s="71" t="s">
        <v>678</v>
      </c>
      <c r="H446" s="71" t="s">
        <v>406</v>
      </c>
      <c r="I446" s="71" t="s">
        <v>378</v>
      </c>
    </row>
    <row r="447" spans="1:9" ht="43.5" x14ac:dyDescent="0.35">
      <c r="A447" s="195">
        <v>2</v>
      </c>
      <c r="B447" s="195">
        <v>197</v>
      </c>
      <c r="C447" s="195" t="s">
        <v>832</v>
      </c>
      <c r="D447" s="195">
        <v>0</v>
      </c>
      <c r="E447" s="195" t="s">
        <v>373</v>
      </c>
      <c r="F447" s="71" t="s">
        <v>508</v>
      </c>
      <c r="G447" s="71" t="s">
        <v>678</v>
      </c>
      <c r="H447" s="71" t="s">
        <v>406</v>
      </c>
      <c r="I447" s="71" t="s">
        <v>380</v>
      </c>
    </row>
    <row r="448" spans="1:9" ht="43.5" x14ac:dyDescent="0.35">
      <c r="A448" s="195">
        <v>2</v>
      </c>
      <c r="B448" s="195">
        <v>198</v>
      </c>
      <c r="C448" s="195" t="s">
        <v>833</v>
      </c>
      <c r="D448" s="195">
        <v>40</v>
      </c>
      <c r="E448" s="195" t="s">
        <v>373</v>
      </c>
      <c r="F448" s="71" t="s">
        <v>508</v>
      </c>
      <c r="G448" s="71" t="s">
        <v>678</v>
      </c>
      <c r="H448" s="71" t="s">
        <v>406</v>
      </c>
      <c r="I448" s="71" t="s">
        <v>382</v>
      </c>
    </row>
    <row r="449" spans="1:9" ht="43.5" x14ac:dyDescent="0.35">
      <c r="A449" s="195">
        <v>2</v>
      </c>
      <c r="B449" s="195">
        <v>199</v>
      </c>
      <c r="C449" s="195" t="s">
        <v>834</v>
      </c>
      <c r="D449" s="64">
        <v>13310</v>
      </c>
      <c r="E449" s="195" t="s">
        <v>373</v>
      </c>
      <c r="F449" s="71" t="s">
        <v>508</v>
      </c>
      <c r="G449" s="71" t="s">
        <v>678</v>
      </c>
      <c r="H449" s="71" t="s">
        <v>406</v>
      </c>
      <c r="I449" s="71" t="s">
        <v>384</v>
      </c>
    </row>
    <row r="450" spans="1:9" ht="43.5" x14ac:dyDescent="0.35">
      <c r="A450" s="195">
        <v>2</v>
      </c>
      <c r="B450" s="195">
        <v>200</v>
      </c>
      <c r="C450" s="195" t="s">
        <v>835</v>
      </c>
      <c r="D450" s="64">
        <v>1210</v>
      </c>
      <c r="E450" s="195" t="s">
        <v>373</v>
      </c>
      <c r="F450" s="71" t="s">
        <v>508</v>
      </c>
      <c r="G450" s="71" t="s">
        <v>678</v>
      </c>
      <c r="H450" s="71" t="s">
        <v>406</v>
      </c>
      <c r="I450" s="71" t="s">
        <v>386</v>
      </c>
    </row>
    <row r="451" spans="1:9" ht="43.5" x14ac:dyDescent="0.35">
      <c r="A451" s="195">
        <v>2</v>
      </c>
      <c r="B451" s="195">
        <v>201</v>
      </c>
      <c r="C451" s="195" t="s">
        <v>836</v>
      </c>
      <c r="D451" s="64">
        <v>201315</v>
      </c>
      <c r="E451" s="195" t="s">
        <v>366</v>
      </c>
      <c r="F451" s="71" t="s">
        <v>508</v>
      </c>
      <c r="G451" s="71" t="s">
        <v>678</v>
      </c>
      <c r="H451" s="71" t="s">
        <v>415</v>
      </c>
      <c r="I451" s="71" t="s">
        <v>364</v>
      </c>
    </row>
    <row r="452" spans="1:9" ht="43.5" x14ac:dyDescent="0.35">
      <c r="A452" s="195">
        <v>2</v>
      </c>
      <c r="B452" s="195">
        <v>202</v>
      </c>
      <c r="C452" s="195" t="s">
        <v>837</v>
      </c>
      <c r="D452" s="64">
        <v>122490</v>
      </c>
      <c r="E452" s="195" t="s">
        <v>373</v>
      </c>
      <c r="F452" s="71" t="s">
        <v>508</v>
      </c>
      <c r="G452" s="71" t="s">
        <v>678</v>
      </c>
      <c r="H452" s="71" t="s">
        <v>415</v>
      </c>
      <c r="I452" s="71" t="s">
        <v>374</v>
      </c>
    </row>
    <row r="453" spans="1:9" ht="43.5" x14ac:dyDescent="0.35">
      <c r="A453" s="195">
        <v>2</v>
      </c>
      <c r="B453" s="195">
        <v>203</v>
      </c>
      <c r="C453" s="195" t="s">
        <v>838</v>
      </c>
      <c r="D453" s="64">
        <v>32670</v>
      </c>
      <c r="E453" s="195" t="s">
        <v>373</v>
      </c>
      <c r="F453" s="71" t="s">
        <v>508</v>
      </c>
      <c r="G453" s="71" t="s">
        <v>678</v>
      </c>
      <c r="H453" s="71" t="s">
        <v>415</v>
      </c>
      <c r="I453" s="71" t="s">
        <v>376</v>
      </c>
    </row>
    <row r="454" spans="1:9" ht="43.5" x14ac:dyDescent="0.35">
      <c r="A454" s="195">
        <v>2</v>
      </c>
      <c r="B454" s="195">
        <v>204</v>
      </c>
      <c r="C454" s="195" t="s">
        <v>839</v>
      </c>
      <c r="D454" s="64">
        <v>19645</v>
      </c>
      <c r="E454" s="195" t="s">
        <v>373</v>
      </c>
      <c r="F454" s="71" t="s">
        <v>508</v>
      </c>
      <c r="G454" s="71" t="s">
        <v>678</v>
      </c>
      <c r="H454" s="71" t="s">
        <v>415</v>
      </c>
      <c r="I454" s="71" t="s">
        <v>378</v>
      </c>
    </row>
    <row r="455" spans="1:9" ht="43.5" x14ac:dyDescent="0.35">
      <c r="A455" s="195">
        <v>2</v>
      </c>
      <c r="B455" s="195">
        <v>205</v>
      </c>
      <c r="C455" s="195" t="s">
        <v>840</v>
      </c>
      <c r="D455" s="195">
        <v>150</v>
      </c>
      <c r="E455" s="195" t="s">
        <v>373</v>
      </c>
      <c r="F455" s="71" t="s">
        <v>508</v>
      </c>
      <c r="G455" s="71" t="s">
        <v>678</v>
      </c>
      <c r="H455" s="71" t="s">
        <v>415</v>
      </c>
      <c r="I455" s="71" t="s">
        <v>380</v>
      </c>
    </row>
    <row r="456" spans="1:9" ht="43.5" x14ac:dyDescent="0.35">
      <c r="A456" s="195">
        <v>2</v>
      </c>
      <c r="B456" s="195">
        <v>206</v>
      </c>
      <c r="C456" s="195" t="s">
        <v>841</v>
      </c>
      <c r="D456" s="195">
        <v>65</v>
      </c>
      <c r="E456" s="195" t="s">
        <v>373</v>
      </c>
      <c r="F456" s="71" t="s">
        <v>508</v>
      </c>
      <c r="G456" s="71" t="s">
        <v>678</v>
      </c>
      <c r="H456" s="71" t="s">
        <v>415</v>
      </c>
      <c r="I456" s="71" t="s">
        <v>382</v>
      </c>
    </row>
    <row r="457" spans="1:9" ht="43.5" x14ac:dyDescent="0.35">
      <c r="A457" s="195">
        <v>2</v>
      </c>
      <c r="B457" s="195">
        <v>207</v>
      </c>
      <c r="C457" s="195" t="s">
        <v>842</v>
      </c>
      <c r="D457" s="64">
        <v>22500</v>
      </c>
      <c r="E457" s="195" t="s">
        <v>373</v>
      </c>
      <c r="F457" s="71" t="s">
        <v>508</v>
      </c>
      <c r="G457" s="71" t="s">
        <v>678</v>
      </c>
      <c r="H457" s="71" t="s">
        <v>415</v>
      </c>
      <c r="I457" s="71" t="s">
        <v>384</v>
      </c>
    </row>
    <row r="458" spans="1:9" ht="43.5" x14ac:dyDescent="0.35">
      <c r="A458" s="195">
        <v>2</v>
      </c>
      <c r="B458" s="195">
        <v>208</v>
      </c>
      <c r="C458" s="195" t="s">
        <v>843</v>
      </c>
      <c r="D458" s="64">
        <v>3790</v>
      </c>
      <c r="E458" s="195" t="s">
        <v>373</v>
      </c>
      <c r="F458" s="71" t="s">
        <v>508</v>
      </c>
      <c r="G458" s="71" t="s">
        <v>678</v>
      </c>
      <c r="H458" s="71" t="s">
        <v>415</v>
      </c>
      <c r="I458" s="71" t="s">
        <v>386</v>
      </c>
    </row>
    <row r="459" spans="1:9" ht="58" x14ac:dyDescent="0.35">
      <c r="A459" s="195">
        <v>2</v>
      </c>
      <c r="B459" s="195">
        <v>209</v>
      </c>
      <c r="C459" s="195" t="s">
        <v>844</v>
      </c>
      <c r="D459" s="64">
        <v>29870</v>
      </c>
      <c r="E459" s="195" t="s">
        <v>366</v>
      </c>
      <c r="F459" s="71" t="s">
        <v>508</v>
      </c>
      <c r="G459" s="71" t="s">
        <v>720</v>
      </c>
      <c r="H459" s="71" t="s">
        <v>363</v>
      </c>
      <c r="I459" s="71" t="s">
        <v>364</v>
      </c>
    </row>
    <row r="460" spans="1:9" ht="58" x14ac:dyDescent="0.35">
      <c r="A460" s="195">
        <v>2</v>
      </c>
      <c r="B460" s="195">
        <v>210</v>
      </c>
      <c r="C460" s="195" t="s">
        <v>845</v>
      </c>
      <c r="D460" s="64">
        <v>29870</v>
      </c>
      <c r="E460" s="195" t="s">
        <v>366</v>
      </c>
      <c r="F460" s="71" t="s">
        <v>508</v>
      </c>
      <c r="G460" s="71" t="s">
        <v>720</v>
      </c>
      <c r="H460" s="71" t="s">
        <v>371</v>
      </c>
      <c r="I460" s="71" t="s">
        <v>364</v>
      </c>
    </row>
    <row r="461" spans="1:9" ht="58" x14ac:dyDescent="0.35">
      <c r="A461" s="195">
        <v>2</v>
      </c>
      <c r="B461" s="195">
        <v>211</v>
      </c>
      <c r="C461" s="195" t="s">
        <v>846</v>
      </c>
      <c r="D461" s="64">
        <v>6845</v>
      </c>
      <c r="E461" s="195" t="s">
        <v>373</v>
      </c>
      <c r="F461" s="71" t="s">
        <v>508</v>
      </c>
      <c r="G461" s="71" t="s">
        <v>720</v>
      </c>
      <c r="H461" s="71" t="s">
        <v>371</v>
      </c>
      <c r="I461" s="71" t="s">
        <v>374</v>
      </c>
    </row>
    <row r="462" spans="1:9" ht="58" x14ac:dyDescent="0.35">
      <c r="A462" s="195">
        <v>2</v>
      </c>
      <c r="B462" s="195">
        <v>212</v>
      </c>
      <c r="C462" s="195" t="s">
        <v>847</v>
      </c>
      <c r="D462" s="64">
        <v>16265</v>
      </c>
      <c r="E462" s="195" t="s">
        <v>373</v>
      </c>
      <c r="F462" s="71" t="s">
        <v>508</v>
      </c>
      <c r="G462" s="71" t="s">
        <v>720</v>
      </c>
      <c r="H462" s="71" t="s">
        <v>371</v>
      </c>
      <c r="I462" s="71" t="s">
        <v>376</v>
      </c>
    </row>
    <row r="463" spans="1:9" ht="58" x14ac:dyDescent="0.35">
      <c r="A463" s="195">
        <v>2</v>
      </c>
      <c r="B463" s="195">
        <v>213</v>
      </c>
      <c r="C463" s="195" t="s">
        <v>848</v>
      </c>
      <c r="D463" s="64">
        <v>2790</v>
      </c>
      <c r="E463" s="195" t="s">
        <v>373</v>
      </c>
      <c r="F463" s="71" t="s">
        <v>508</v>
      </c>
      <c r="G463" s="71" t="s">
        <v>720</v>
      </c>
      <c r="H463" s="71" t="s">
        <v>371</v>
      </c>
      <c r="I463" s="71" t="s">
        <v>378</v>
      </c>
    </row>
    <row r="464" spans="1:9" ht="58" x14ac:dyDescent="0.35">
      <c r="A464" s="195">
        <v>2</v>
      </c>
      <c r="B464" s="195">
        <v>214</v>
      </c>
      <c r="C464" s="195" t="s">
        <v>849</v>
      </c>
      <c r="D464" s="195">
        <v>60</v>
      </c>
      <c r="E464" s="195" t="s">
        <v>373</v>
      </c>
      <c r="F464" s="71" t="s">
        <v>508</v>
      </c>
      <c r="G464" s="71" t="s">
        <v>720</v>
      </c>
      <c r="H464" s="71" t="s">
        <v>371</v>
      </c>
      <c r="I464" s="71" t="s">
        <v>380</v>
      </c>
    </row>
    <row r="465" spans="1:9" ht="58" x14ac:dyDescent="0.35">
      <c r="A465" s="195">
        <v>2</v>
      </c>
      <c r="B465" s="195">
        <v>215</v>
      </c>
      <c r="C465" s="195" t="s">
        <v>850</v>
      </c>
      <c r="D465" s="195">
        <v>10</v>
      </c>
      <c r="E465" s="195" t="s">
        <v>373</v>
      </c>
      <c r="F465" s="71" t="s">
        <v>508</v>
      </c>
      <c r="G465" s="71" t="s">
        <v>720</v>
      </c>
      <c r="H465" s="71" t="s">
        <v>371</v>
      </c>
      <c r="I465" s="71" t="s">
        <v>382</v>
      </c>
    </row>
    <row r="466" spans="1:9" ht="58" x14ac:dyDescent="0.35">
      <c r="A466" s="195">
        <v>2</v>
      </c>
      <c r="B466" s="195">
        <v>216</v>
      </c>
      <c r="C466" s="195" t="s">
        <v>851</v>
      </c>
      <c r="D466" s="64">
        <v>3340</v>
      </c>
      <c r="E466" s="195" t="s">
        <v>373</v>
      </c>
      <c r="F466" s="71" t="s">
        <v>508</v>
      </c>
      <c r="G466" s="71" t="s">
        <v>720</v>
      </c>
      <c r="H466" s="71" t="s">
        <v>371</v>
      </c>
      <c r="I466" s="71" t="s">
        <v>384</v>
      </c>
    </row>
    <row r="467" spans="1:9" ht="58" x14ac:dyDescent="0.35">
      <c r="A467" s="195">
        <v>2</v>
      </c>
      <c r="B467" s="195">
        <v>217</v>
      </c>
      <c r="C467" s="195" t="s">
        <v>852</v>
      </c>
      <c r="D467" s="195">
        <v>565</v>
      </c>
      <c r="E467" s="195" t="s">
        <v>373</v>
      </c>
      <c r="F467" s="71" t="s">
        <v>508</v>
      </c>
      <c r="G467" s="71" t="s">
        <v>720</v>
      </c>
      <c r="H467" s="71" t="s">
        <v>371</v>
      </c>
      <c r="I467" s="71" t="s">
        <v>386</v>
      </c>
    </row>
    <row r="468" spans="1:9" ht="58" x14ac:dyDescent="0.35">
      <c r="A468" s="195">
        <v>2</v>
      </c>
      <c r="B468" s="195">
        <v>218</v>
      </c>
      <c r="C468" s="195" t="s">
        <v>853</v>
      </c>
      <c r="D468" s="195">
        <v>0</v>
      </c>
      <c r="E468" s="195" t="s">
        <v>366</v>
      </c>
      <c r="F468" s="71" t="s">
        <v>508</v>
      </c>
      <c r="G468" s="71" t="s">
        <v>720</v>
      </c>
      <c r="H468" s="71" t="s">
        <v>388</v>
      </c>
      <c r="I468" s="71" t="s">
        <v>364</v>
      </c>
    </row>
    <row r="469" spans="1:9" ht="58" x14ac:dyDescent="0.35">
      <c r="A469" s="195">
        <v>2</v>
      </c>
      <c r="B469" s="195">
        <v>219</v>
      </c>
      <c r="C469" s="195" t="s">
        <v>854</v>
      </c>
      <c r="D469" s="195">
        <v>0</v>
      </c>
      <c r="E469" s="195" t="s">
        <v>373</v>
      </c>
      <c r="F469" s="71" t="s">
        <v>508</v>
      </c>
      <c r="G469" s="71" t="s">
        <v>720</v>
      </c>
      <c r="H469" s="71" t="s">
        <v>388</v>
      </c>
      <c r="I469" s="71" t="s">
        <v>374</v>
      </c>
    </row>
    <row r="470" spans="1:9" ht="58" x14ac:dyDescent="0.35">
      <c r="A470" s="195">
        <v>2</v>
      </c>
      <c r="B470" s="195">
        <v>220</v>
      </c>
      <c r="C470" s="195" t="s">
        <v>855</v>
      </c>
      <c r="D470" s="195">
        <v>0</v>
      </c>
      <c r="E470" s="195" t="s">
        <v>373</v>
      </c>
      <c r="F470" s="71" t="s">
        <v>508</v>
      </c>
      <c r="G470" s="71" t="s">
        <v>720</v>
      </c>
      <c r="H470" s="71" t="s">
        <v>388</v>
      </c>
      <c r="I470" s="71" t="s">
        <v>376</v>
      </c>
    </row>
    <row r="471" spans="1:9" ht="58" x14ac:dyDescent="0.35">
      <c r="A471" s="195">
        <v>2</v>
      </c>
      <c r="B471" s="195">
        <v>221</v>
      </c>
      <c r="C471" s="195" t="s">
        <v>856</v>
      </c>
      <c r="D471" s="195">
        <v>0</v>
      </c>
      <c r="E471" s="195" t="s">
        <v>373</v>
      </c>
      <c r="F471" s="71" t="s">
        <v>508</v>
      </c>
      <c r="G471" s="71" t="s">
        <v>720</v>
      </c>
      <c r="H471" s="71" t="s">
        <v>388</v>
      </c>
      <c r="I471" s="71" t="s">
        <v>378</v>
      </c>
    </row>
    <row r="472" spans="1:9" ht="58" x14ac:dyDescent="0.35">
      <c r="A472" s="195">
        <v>2</v>
      </c>
      <c r="B472" s="195">
        <v>222</v>
      </c>
      <c r="C472" s="195" t="s">
        <v>857</v>
      </c>
      <c r="D472" s="195">
        <v>0</v>
      </c>
      <c r="E472" s="195" t="s">
        <v>373</v>
      </c>
      <c r="F472" s="71" t="s">
        <v>508</v>
      </c>
      <c r="G472" s="71" t="s">
        <v>720</v>
      </c>
      <c r="H472" s="71" t="s">
        <v>388</v>
      </c>
      <c r="I472" s="71" t="s">
        <v>380</v>
      </c>
    </row>
    <row r="473" spans="1:9" ht="58" x14ac:dyDescent="0.35">
      <c r="A473" s="195">
        <v>2</v>
      </c>
      <c r="B473" s="195">
        <v>223</v>
      </c>
      <c r="C473" s="195" t="s">
        <v>858</v>
      </c>
      <c r="D473" s="195">
        <v>0</v>
      </c>
      <c r="E473" s="195" t="s">
        <v>373</v>
      </c>
      <c r="F473" s="71" t="s">
        <v>508</v>
      </c>
      <c r="G473" s="71" t="s">
        <v>720</v>
      </c>
      <c r="H473" s="71" t="s">
        <v>388</v>
      </c>
      <c r="I473" s="71" t="s">
        <v>382</v>
      </c>
    </row>
    <row r="474" spans="1:9" ht="58" x14ac:dyDescent="0.35">
      <c r="A474" s="195">
        <v>2</v>
      </c>
      <c r="B474" s="195">
        <v>224</v>
      </c>
      <c r="C474" s="195" t="s">
        <v>859</v>
      </c>
      <c r="D474" s="195">
        <v>0</v>
      </c>
      <c r="E474" s="195" t="s">
        <v>373</v>
      </c>
      <c r="F474" s="71" t="s">
        <v>508</v>
      </c>
      <c r="G474" s="71" t="s">
        <v>720</v>
      </c>
      <c r="H474" s="71" t="s">
        <v>388</v>
      </c>
      <c r="I474" s="71" t="s">
        <v>384</v>
      </c>
    </row>
    <row r="475" spans="1:9" ht="58" x14ac:dyDescent="0.35">
      <c r="A475" s="195">
        <v>2</v>
      </c>
      <c r="B475" s="195">
        <v>225</v>
      </c>
      <c r="C475" s="195" t="s">
        <v>860</v>
      </c>
      <c r="D475" s="195">
        <v>0</v>
      </c>
      <c r="E475" s="195" t="s">
        <v>373</v>
      </c>
      <c r="F475" s="71" t="s">
        <v>508</v>
      </c>
      <c r="G475" s="71" t="s">
        <v>720</v>
      </c>
      <c r="H475" s="71" t="s">
        <v>388</v>
      </c>
      <c r="I475" s="71" t="s">
        <v>386</v>
      </c>
    </row>
    <row r="476" spans="1:9" ht="58" x14ac:dyDescent="0.35">
      <c r="A476" s="195">
        <v>2</v>
      </c>
      <c r="B476" s="195">
        <v>226</v>
      </c>
      <c r="C476" s="195" t="s">
        <v>861</v>
      </c>
      <c r="D476" s="195">
        <v>0</v>
      </c>
      <c r="E476" s="195" t="s">
        <v>366</v>
      </c>
      <c r="F476" s="71" t="s">
        <v>508</v>
      </c>
      <c r="G476" s="71" t="s">
        <v>720</v>
      </c>
      <c r="H476" s="71" t="s">
        <v>397</v>
      </c>
      <c r="I476" s="71" t="s">
        <v>364</v>
      </c>
    </row>
    <row r="477" spans="1:9" ht="58" x14ac:dyDescent="0.35">
      <c r="A477" s="195">
        <v>2</v>
      </c>
      <c r="B477" s="195">
        <v>227</v>
      </c>
      <c r="C477" s="195" t="s">
        <v>862</v>
      </c>
      <c r="D477" s="195">
        <v>0</v>
      </c>
      <c r="E477" s="195" t="s">
        <v>373</v>
      </c>
      <c r="F477" s="71" t="s">
        <v>508</v>
      </c>
      <c r="G477" s="71" t="s">
        <v>720</v>
      </c>
      <c r="H477" s="71" t="s">
        <v>397</v>
      </c>
      <c r="I477" s="71" t="s">
        <v>374</v>
      </c>
    </row>
    <row r="478" spans="1:9" ht="58" x14ac:dyDescent="0.35">
      <c r="A478" s="195">
        <v>2</v>
      </c>
      <c r="B478" s="195">
        <v>228</v>
      </c>
      <c r="C478" s="195" t="s">
        <v>863</v>
      </c>
      <c r="D478" s="195">
        <v>0</v>
      </c>
      <c r="E478" s="195" t="s">
        <v>373</v>
      </c>
      <c r="F478" s="71" t="s">
        <v>508</v>
      </c>
      <c r="G478" s="71" t="s">
        <v>720</v>
      </c>
      <c r="H478" s="71" t="s">
        <v>397</v>
      </c>
      <c r="I478" s="71" t="s">
        <v>376</v>
      </c>
    </row>
    <row r="479" spans="1:9" ht="58" x14ac:dyDescent="0.35">
      <c r="A479" s="195">
        <v>2</v>
      </c>
      <c r="B479" s="195">
        <v>229</v>
      </c>
      <c r="C479" s="195" t="s">
        <v>864</v>
      </c>
      <c r="D479" s="195">
        <v>0</v>
      </c>
      <c r="E479" s="195" t="s">
        <v>373</v>
      </c>
      <c r="F479" s="71" t="s">
        <v>508</v>
      </c>
      <c r="G479" s="71" t="s">
        <v>720</v>
      </c>
      <c r="H479" s="71" t="s">
        <v>397</v>
      </c>
      <c r="I479" s="71" t="s">
        <v>378</v>
      </c>
    </row>
    <row r="480" spans="1:9" ht="58" x14ac:dyDescent="0.35">
      <c r="A480" s="195">
        <v>2</v>
      </c>
      <c r="B480" s="195">
        <v>230</v>
      </c>
      <c r="C480" s="195" t="s">
        <v>865</v>
      </c>
      <c r="D480" s="195">
        <v>0</v>
      </c>
      <c r="E480" s="195" t="s">
        <v>373</v>
      </c>
      <c r="F480" s="71" t="s">
        <v>508</v>
      </c>
      <c r="G480" s="71" t="s">
        <v>720</v>
      </c>
      <c r="H480" s="71" t="s">
        <v>397</v>
      </c>
      <c r="I480" s="71" t="s">
        <v>380</v>
      </c>
    </row>
    <row r="481" spans="1:9" ht="58" x14ac:dyDescent="0.35">
      <c r="A481" s="195">
        <v>2</v>
      </c>
      <c r="B481" s="195">
        <v>231</v>
      </c>
      <c r="C481" s="195" t="s">
        <v>866</v>
      </c>
      <c r="D481" s="195">
        <v>0</v>
      </c>
      <c r="E481" s="195" t="s">
        <v>373</v>
      </c>
      <c r="F481" s="71" t="s">
        <v>508</v>
      </c>
      <c r="G481" s="71" t="s">
        <v>720</v>
      </c>
      <c r="H481" s="71" t="s">
        <v>397</v>
      </c>
      <c r="I481" s="71" t="s">
        <v>382</v>
      </c>
    </row>
    <row r="482" spans="1:9" ht="58" x14ac:dyDescent="0.35">
      <c r="A482" s="195">
        <v>2</v>
      </c>
      <c r="B482" s="195">
        <v>232</v>
      </c>
      <c r="C482" s="195" t="s">
        <v>867</v>
      </c>
      <c r="D482" s="195">
        <v>0</v>
      </c>
      <c r="E482" s="195" t="s">
        <v>373</v>
      </c>
      <c r="F482" s="71" t="s">
        <v>508</v>
      </c>
      <c r="G482" s="71" t="s">
        <v>720</v>
      </c>
      <c r="H482" s="71" t="s">
        <v>397</v>
      </c>
      <c r="I482" s="71" t="s">
        <v>384</v>
      </c>
    </row>
    <row r="483" spans="1:9" ht="58" x14ac:dyDescent="0.35">
      <c r="A483" s="195">
        <v>2</v>
      </c>
      <c r="B483" s="195">
        <v>233</v>
      </c>
      <c r="C483" s="195" t="s">
        <v>868</v>
      </c>
      <c r="D483" s="195">
        <v>0</v>
      </c>
      <c r="E483" s="195" t="s">
        <v>373</v>
      </c>
      <c r="F483" s="71" t="s">
        <v>508</v>
      </c>
      <c r="G483" s="71" t="s">
        <v>720</v>
      </c>
      <c r="H483" s="71" t="s">
        <v>397</v>
      </c>
      <c r="I483" s="71" t="s">
        <v>386</v>
      </c>
    </row>
    <row r="484" spans="1:9" ht="58" x14ac:dyDescent="0.35">
      <c r="A484" s="195">
        <v>2</v>
      </c>
      <c r="B484" s="195">
        <v>234</v>
      </c>
      <c r="C484" s="195" t="s">
        <v>869</v>
      </c>
      <c r="D484" s="195">
        <v>0</v>
      </c>
      <c r="E484" s="195" t="s">
        <v>366</v>
      </c>
      <c r="F484" s="71" t="s">
        <v>508</v>
      </c>
      <c r="G484" s="71" t="s">
        <v>720</v>
      </c>
      <c r="H484" s="71" t="s">
        <v>406</v>
      </c>
      <c r="I484" s="71" t="s">
        <v>364</v>
      </c>
    </row>
    <row r="485" spans="1:9" ht="58" x14ac:dyDescent="0.35">
      <c r="A485" s="195">
        <v>2</v>
      </c>
      <c r="B485" s="195">
        <v>235</v>
      </c>
      <c r="C485" s="195" t="s">
        <v>870</v>
      </c>
      <c r="D485" s="195">
        <v>0</v>
      </c>
      <c r="E485" s="195" t="s">
        <v>373</v>
      </c>
      <c r="F485" s="71" t="s">
        <v>508</v>
      </c>
      <c r="G485" s="71" t="s">
        <v>720</v>
      </c>
      <c r="H485" s="71" t="s">
        <v>406</v>
      </c>
      <c r="I485" s="71" t="s">
        <v>374</v>
      </c>
    </row>
    <row r="486" spans="1:9" ht="58" x14ac:dyDescent="0.35">
      <c r="A486" s="195">
        <v>2</v>
      </c>
      <c r="B486" s="195">
        <v>236</v>
      </c>
      <c r="C486" s="195" t="s">
        <v>871</v>
      </c>
      <c r="D486" s="195">
        <v>0</v>
      </c>
      <c r="E486" s="195" t="s">
        <v>373</v>
      </c>
      <c r="F486" s="71" t="s">
        <v>508</v>
      </c>
      <c r="G486" s="71" t="s">
        <v>720</v>
      </c>
      <c r="H486" s="71" t="s">
        <v>406</v>
      </c>
      <c r="I486" s="71" t="s">
        <v>376</v>
      </c>
    </row>
    <row r="487" spans="1:9" ht="58" x14ac:dyDescent="0.35">
      <c r="A487" s="195">
        <v>2</v>
      </c>
      <c r="B487" s="195">
        <v>237</v>
      </c>
      <c r="C487" s="195" t="s">
        <v>872</v>
      </c>
      <c r="D487" s="195">
        <v>0</v>
      </c>
      <c r="E487" s="195" t="s">
        <v>373</v>
      </c>
      <c r="F487" s="71" t="s">
        <v>508</v>
      </c>
      <c r="G487" s="71" t="s">
        <v>720</v>
      </c>
      <c r="H487" s="71" t="s">
        <v>406</v>
      </c>
      <c r="I487" s="71" t="s">
        <v>378</v>
      </c>
    </row>
    <row r="488" spans="1:9" ht="58" x14ac:dyDescent="0.35">
      <c r="A488" s="195">
        <v>2</v>
      </c>
      <c r="B488" s="195">
        <v>238</v>
      </c>
      <c r="C488" s="195" t="s">
        <v>873</v>
      </c>
      <c r="D488" s="195">
        <v>0</v>
      </c>
      <c r="E488" s="195" t="s">
        <v>373</v>
      </c>
      <c r="F488" s="71" t="s">
        <v>508</v>
      </c>
      <c r="G488" s="71" t="s">
        <v>720</v>
      </c>
      <c r="H488" s="71" t="s">
        <v>406</v>
      </c>
      <c r="I488" s="71" t="s">
        <v>380</v>
      </c>
    </row>
    <row r="489" spans="1:9" ht="58" x14ac:dyDescent="0.35">
      <c r="A489" s="195">
        <v>2</v>
      </c>
      <c r="B489" s="195">
        <v>239</v>
      </c>
      <c r="C489" s="195" t="s">
        <v>874</v>
      </c>
      <c r="D489" s="195">
        <v>0</v>
      </c>
      <c r="E489" s="195" t="s">
        <v>373</v>
      </c>
      <c r="F489" s="71" t="s">
        <v>508</v>
      </c>
      <c r="G489" s="71" t="s">
        <v>720</v>
      </c>
      <c r="H489" s="71" t="s">
        <v>406</v>
      </c>
      <c r="I489" s="71" t="s">
        <v>382</v>
      </c>
    </row>
    <row r="490" spans="1:9" ht="58" x14ac:dyDescent="0.35">
      <c r="A490" s="195">
        <v>2</v>
      </c>
      <c r="B490" s="195">
        <v>240</v>
      </c>
      <c r="C490" s="195" t="s">
        <v>875</v>
      </c>
      <c r="D490" s="195">
        <v>0</v>
      </c>
      <c r="E490" s="195" t="s">
        <v>373</v>
      </c>
      <c r="F490" s="71" t="s">
        <v>508</v>
      </c>
      <c r="G490" s="71" t="s">
        <v>720</v>
      </c>
      <c r="H490" s="71" t="s">
        <v>406</v>
      </c>
      <c r="I490" s="71" t="s">
        <v>384</v>
      </c>
    </row>
    <row r="491" spans="1:9" ht="58" x14ac:dyDescent="0.35">
      <c r="A491" s="195">
        <v>2</v>
      </c>
      <c r="B491" s="195">
        <v>241</v>
      </c>
      <c r="C491" s="195" t="s">
        <v>876</v>
      </c>
      <c r="D491" s="195">
        <v>0</v>
      </c>
      <c r="E491" s="195" t="s">
        <v>373</v>
      </c>
      <c r="F491" s="71" t="s">
        <v>508</v>
      </c>
      <c r="G491" s="71" t="s">
        <v>720</v>
      </c>
      <c r="H491" s="71" t="s">
        <v>406</v>
      </c>
      <c r="I491" s="71" t="s">
        <v>386</v>
      </c>
    </row>
    <row r="492" spans="1:9" ht="58" x14ac:dyDescent="0.35">
      <c r="A492" s="195">
        <v>2</v>
      </c>
      <c r="B492" s="195">
        <v>242</v>
      </c>
      <c r="C492" s="195" t="s">
        <v>877</v>
      </c>
      <c r="D492" s="195">
        <v>0</v>
      </c>
      <c r="E492" s="195" t="s">
        <v>366</v>
      </c>
      <c r="F492" s="71" t="s">
        <v>508</v>
      </c>
      <c r="G492" s="71" t="s">
        <v>720</v>
      </c>
      <c r="H492" s="71" t="s">
        <v>415</v>
      </c>
      <c r="I492" s="71" t="s">
        <v>364</v>
      </c>
    </row>
    <row r="493" spans="1:9" ht="58" x14ac:dyDescent="0.35">
      <c r="A493" s="195">
        <v>2</v>
      </c>
      <c r="B493" s="195">
        <v>243</v>
      </c>
      <c r="C493" s="195" t="s">
        <v>878</v>
      </c>
      <c r="D493" s="195">
        <v>0</v>
      </c>
      <c r="E493" s="195" t="s">
        <v>373</v>
      </c>
      <c r="F493" s="71" t="s">
        <v>508</v>
      </c>
      <c r="G493" s="71" t="s">
        <v>720</v>
      </c>
      <c r="H493" s="71" t="s">
        <v>415</v>
      </c>
      <c r="I493" s="71" t="s">
        <v>374</v>
      </c>
    </row>
    <row r="494" spans="1:9" ht="58" x14ac:dyDescent="0.35">
      <c r="A494" s="195">
        <v>2</v>
      </c>
      <c r="B494" s="195">
        <v>244</v>
      </c>
      <c r="C494" s="195" t="s">
        <v>879</v>
      </c>
      <c r="D494" s="195">
        <v>0</v>
      </c>
      <c r="E494" s="195" t="s">
        <v>373</v>
      </c>
      <c r="F494" s="71" t="s">
        <v>508</v>
      </c>
      <c r="G494" s="71" t="s">
        <v>720</v>
      </c>
      <c r="H494" s="71" t="s">
        <v>415</v>
      </c>
      <c r="I494" s="71" t="s">
        <v>376</v>
      </c>
    </row>
    <row r="495" spans="1:9" ht="58" x14ac:dyDescent="0.35">
      <c r="A495" s="195">
        <v>2</v>
      </c>
      <c r="B495" s="195">
        <v>245</v>
      </c>
      <c r="C495" s="195" t="s">
        <v>880</v>
      </c>
      <c r="D495" s="195">
        <v>0</v>
      </c>
      <c r="E495" s="195" t="s">
        <v>373</v>
      </c>
      <c r="F495" s="71" t="s">
        <v>508</v>
      </c>
      <c r="G495" s="71" t="s">
        <v>720</v>
      </c>
      <c r="H495" s="71" t="s">
        <v>415</v>
      </c>
      <c r="I495" s="71" t="s">
        <v>378</v>
      </c>
    </row>
    <row r="496" spans="1:9" ht="58" x14ac:dyDescent="0.35">
      <c r="A496" s="195">
        <v>2</v>
      </c>
      <c r="B496" s="195">
        <v>246</v>
      </c>
      <c r="C496" s="195" t="s">
        <v>881</v>
      </c>
      <c r="D496" s="195">
        <v>0</v>
      </c>
      <c r="E496" s="195" t="s">
        <v>373</v>
      </c>
      <c r="F496" s="71" t="s">
        <v>508</v>
      </c>
      <c r="G496" s="71" t="s">
        <v>720</v>
      </c>
      <c r="H496" s="71" t="s">
        <v>415</v>
      </c>
      <c r="I496" s="71" t="s">
        <v>380</v>
      </c>
    </row>
    <row r="497" spans="1:9" ht="58" x14ac:dyDescent="0.35">
      <c r="A497" s="195">
        <v>2</v>
      </c>
      <c r="B497" s="195">
        <v>247</v>
      </c>
      <c r="C497" s="195" t="s">
        <v>882</v>
      </c>
      <c r="D497" s="195">
        <v>0</v>
      </c>
      <c r="E497" s="195" t="s">
        <v>373</v>
      </c>
      <c r="F497" s="71" t="s">
        <v>508</v>
      </c>
      <c r="G497" s="71" t="s">
        <v>720</v>
      </c>
      <c r="H497" s="71" t="s">
        <v>415</v>
      </c>
      <c r="I497" s="71" t="s">
        <v>382</v>
      </c>
    </row>
    <row r="498" spans="1:9" ht="58" x14ac:dyDescent="0.35">
      <c r="A498" s="195">
        <v>2</v>
      </c>
      <c r="B498" s="195">
        <v>248</v>
      </c>
      <c r="C498" s="195" t="s">
        <v>883</v>
      </c>
      <c r="D498" s="195">
        <v>0</v>
      </c>
      <c r="E498" s="195" t="s">
        <v>373</v>
      </c>
      <c r="F498" s="71" t="s">
        <v>508</v>
      </c>
      <c r="G498" s="71" t="s">
        <v>720</v>
      </c>
      <c r="H498" s="71" t="s">
        <v>415</v>
      </c>
      <c r="I498" s="71" t="s">
        <v>384</v>
      </c>
    </row>
    <row r="499" spans="1:9" ht="58" x14ac:dyDescent="0.35">
      <c r="A499" s="195">
        <v>2</v>
      </c>
      <c r="B499" s="195">
        <v>249</v>
      </c>
      <c r="C499" s="195" t="s">
        <v>884</v>
      </c>
      <c r="D499" s="195">
        <v>0</v>
      </c>
      <c r="E499" s="195" t="s">
        <v>373</v>
      </c>
      <c r="F499" s="71" t="s">
        <v>508</v>
      </c>
      <c r="G499" s="71" t="s">
        <v>720</v>
      </c>
      <c r="H499" s="71" t="s">
        <v>415</v>
      </c>
      <c r="I499" s="71" t="s">
        <v>386</v>
      </c>
    </row>
    <row r="500" spans="1:9" ht="29" x14ac:dyDescent="0.35">
      <c r="A500" s="195">
        <v>3</v>
      </c>
      <c r="B500" s="195">
        <v>1</v>
      </c>
      <c r="C500" s="195" t="s">
        <v>885</v>
      </c>
      <c r="D500" s="64">
        <v>1951605</v>
      </c>
      <c r="E500" s="195" t="s">
        <v>26</v>
      </c>
      <c r="F500" s="71" t="s">
        <v>886</v>
      </c>
      <c r="G500" s="71" t="s">
        <v>887</v>
      </c>
      <c r="H500" s="71" t="s">
        <v>363</v>
      </c>
    </row>
    <row r="501" spans="1:9" ht="29" x14ac:dyDescent="0.35">
      <c r="A501" s="195">
        <v>3</v>
      </c>
      <c r="B501" s="195">
        <v>2</v>
      </c>
      <c r="C501" s="195" t="s">
        <v>888</v>
      </c>
      <c r="D501" s="64">
        <v>1105170</v>
      </c>
      <c r="E501" s="195" t="s">
        <v>366</v>
      </c>
      <c r="F501" s="71" t="s">
        <v>367</v>
      </c>
      <c r="G501" s="71" t="s">
        <v>887</v>
      </c>
      <c r="H501" s="71" t="s">
        <v>363</v>
      </c>
    </row>
    <row r="502" spans="1:9" ht="43.5" x14ac:dyDescent="0.35">
      <c r="A502" s="195">
        <v>3</v>
      </c>
      <c r="B502" s="195">
        <v>3</v>
      </c>
      <c r="C502" s="195" t="s">
        <v>889</v>
      </c>
      <c r="D502" s="64">
        <v>3960</v>
      </c>
      <c r="E502" s="195" t="s">
        <v>366</v>
      </c>
      <c r="F502" s="71" t="s">
        <v>367</v>
      </c>
      <c r="G502" s="71" t="s">
        <v>890</v>
      </c>
      <c r="H502" s="71" t="s">
        <v>363</v>
      </c>
    </row>
    <row r="503" spans="1:9" ht="43.5" x14ac:dyDescent="0.35">
      <c r="A503" s="195">
        <v>3</v>
      </c>
      <c r="B503" s="195">
        <v>4</v>
      </c>
      <c r="C503" s="195" t="s">
        <v>891</v>
      </c>
      <c r="D503" s="195">
        <v>950</v>
      </c>
      <c r="E503" s="195" t="s">
        <v>373</v>
      </c>
      <c r="F503" s="71" t="s">
        <v>367</v>
      </c>
      <c r="G503" s="71" t="s">
        <v>890</v>
      </c>
      <c r="H503" s="71" t="s">
        <v>371</v>
      </c>
    </row>
    <row r="504" spans="1:9" ht="43.5" x14ac:dyDescent="0.35">
      <c r="A504" s="195">
        <v>3</v>
      </c>
      <c r="B504" s="195">
        <v>5</v>
      </c>
      <c r="C504" s="195" t="s">
        <v>892</v>
      </c>
      <c r="D504" s="195">
        <v>555</v>
      </c>
      <c r="E504" s="195" t="s">
        <v>373</v>
      </c>
      <c r="F504" s="71" t="s">
        <v>367</v>
      </c>
      <c r="G504" s="71" t="s">
        <v>890</v>
      </c>
      <c r="H504" s="71" t="s">
        <v>388</v>
      </c>
    </row>
    <row r="505" spans="1:9" ht="43.5" x14ac:dyDescent="0.35">
      <c r="A505" s="195">
        <v>3</v>
      </c>
      <c r="B505" s="195">
        <v>6</v>
      </c>
      <c r="C505" s="195" t="s">
        <v>893</v>
      </c>
      <c r="D505" s="195">
        <v>650</v>
      </c>
      <c r="E505" s="195" t="s">
        <v>373</v>
      </c>
      <c r="F505" s="71" t="s">
        <v>367</v>
      </c>
      <c r="G505" s="71" t="s">
        <v>890</v>
      </c>
      <c r="H505" s="71" t="s">
        <v>397</v>
      </c>
    </row>
    <row r="506" spans="1:9" ht="43.5" x14ac:dyDescent="0.35">
      <c r="A506" s="195">
        <v>3</v>
      </c>
      <c r="B506" s="195">
        <v>7</v>
      </c>
      <c r="C506" s="195" t="s">
        <v>894</v>
      </c>
      <c r="D506" s="195">
        <v>345</v>
      </c>
      <c r="E506" s="195" t="s">
        <v>373</v>
      </c>
      <c r="F506" s="71" t="s">
        <v>367</v>
      </c>
      <c r="G506" s="71" t="s">
        <v>890</v>
      </c>
      <c r="H506" s="71" t="s">
        <v>406</v>
      </c>
    </row>
    <row r="507" spans="1:9" ht="43.5" x14ac:dyDescent="0.35">
      <c r="A507" s="195">
        <v>3</v>
      </c>
      <c r="B507" s="195">
        <v>8</v>
      </c>
      <c r="C507" s="195" t="s">
        <v>895</v>
      </c>
      <c r="D507" s="64">
        <v>1465</v>
      </c>
      <c r="E507" s="195" t="s">
        <v>373</v>
      </c>
      <c r="F507" s="71" t="s">
        <v>367</v>
      </c>
      <c r="G507" s="71" t="s">
        <v>890</v>
      </c>
      <c r="H507" s="71" t="s">
        <v>415</v>
      </c>
    </row>
    <row r="508" spans="1:9" ht="43.5" x14ac:dyDescent="0.35">
      <c r="A508" s="195">
        <v>3</v>
      </c>
      <c r="B508" s="195">
        <v>9</v>
      </c>
      <c r="C508" s="195" t="s">
        <v>896</v>
      </c>
      <c r="D508" s="64">
        <v>4475</v>
      </c>
      <c r="E508" s="195" t="s">
        <v>366</v>
      </c>
      <c r="F508" s="71" t="s">
        <v>367</v>
      </c>
      <c r="G508" s="71" t="s">
        <v>897</v>
      </c>
      <c r="H508" s="71" t="s">
        <v>363</v>
      </c>
    </row>
    <row r="509" spans="1:9" ht="43.5" x14ac:dyDescent="0.35">
      <c r="A509" s="195">
        <v>3</v>
      </c>
      <c r="B509" s="195">
        <v>10</v>
      </c>
      <c r="C509" s="195" t="s">
        <v>898</v>
      </c>
      <c r="D509" s="195">
        <v>470</v>
      </c>
      <c r="E509" s="195" t="s">
        <v>373</v>
      </c>
      <c r="F509" s="71" t="s">
        <v>367</v>
      </c>
      <c r="G509" s="71" t="s">
        <v>897</v>
      </c>
      <c r="H509" s="71" t="s">
        <v>371</v>
      </c>
    </row>
    <row r="510" spans="1:9" ht="43.5" x14ac:dyDescent="0.35">
      <c r="A510" s="195">
        <v>3</v>
      </c>
      <c r="B510" s="195">
        <v>11</v>
      </c>
      <c r="C510" s="195" t="s">
        <v>899</v>
      </c>
      <c r="D510" s="195">
        <v>865</v>
      </c>
      <c r="E510" s="195" t="s">
        <v>373</v>
      </c>
      <c r="F510" s="71" t="s">
        <v>367</v>
      </c>
      <c r="G510" s="71" t="s">
        <v>897</v>
      </c>
      <c r="H510" s="71" t="s">
        <v>388</v>
      </c>
    </row>
    <row r="511" spans="1:9" ht="43.5" x14ac:dyDescent="0.35">
      <c r="A511" s="195">
        <v>3</v>
      </c>
      <c r="B511" s="195">
        <v>12</v>
      </c>
      <c r="C511" s="195" t="s">
        <v>900</v>
      </c>
      <c r="D511" s="195">
        <v>920</v>
      </c>
      <c r="E511" s="195" t="s">
        <v>373</v>
      </c>
      <c r="F511" s="71" t="s">
        <v>367</v>
      </c>
      <c r="G511" s="71" t="s">
        <v>897</v>
      </c>
      <c r="H511" s="71" t="s">
        <v>397</v>
      </c>
    </row>
    <row r="512" spans="1:9" ht="43.5" x14ac:dyDescent="0.35">
      <c r="A512" s="195">
        <v>3</v>
      </c>
      <c r="B512" s="195">
        <v>13</v>
      </c>
      <c r="C512" s="195" t="s">
        <v>901</v>
      </c>
      <c r="D512" s="195">
        <v>580</v>
      </c>
      <c r="E512" s="195" t="s">
        <v>373</v>
      </c>
      <c r="F512" s="71" t="s">
        <v>367</v>
      </c>
      <c r="G512" s="71" t="s">
        <v>897</v>
      </c>
      <c r="H512" s="71" t="s">
        <v>406</v>
      </c>
    </row>
    <row r="513" spans="1:8" ht="43.5" x14ac:dyDescent="0.35">
      <c r="A513" s="195">
        <v>3</v>
      </c>
      <c r="B513" s="195">
        <v>14</v>
      </c>
      <c r="C513" s="195" t="s">
        <v>902</v>
      </c>
      <c r="D513" s="64">
        <v>1640</v>
      </c>
      <c r="E513" s="195" t="s">
        <v>373</v>
      </c>
      <c r="F513" s="71" t="s">
        <v>367</v>
      </c>
      <c r="G513" s="71" t="s">
        <v>897</v>
      </c>
      <c r="H513" s="71" t="s">
        <v>415</v>
      </c>
    </row>
    <row r="514" spans="1:8" ht="58" x14ac:dyDescent="0.35">
      <c r="A514" s="195">
        <v>3</v>
      </c>
      <c r="B514" s="195">
        <v>15</v>
      </c>
      <c r="C514" s="195" t="s">
        <v>903</v>
      </c>
      <c r="D514" s="64">
        <v>19100</v>
      </c>
      <c r="E514" s="195" t="s">
        <v>366</v>
      </c>
      <c r="F514" s="71" t="s">
        <v>367</v>
      </c>
      <c r="G514" s="71" t="s">
        <v>904</v>
      </c>
      <c r="H514" s="71" t="s">
        <v>363</v>
      </c>
    </row>
    <row r="515" spans="1:8" ht="58" x14ac:dyDescent="0.35">
      <c r="A515" s="195">
        <v>3</v>
      </c>
      <c r="B515" s="195">
        <v>16</v>
      </c>
      <c r="C515" s="195" t="s">
        <v>905</v>
      </c>
      <c r="D515" s="64">
        <v>1805</v>
      </c>
      <c r="E515" s="195" t="s">
        <v>373</v>
      </c>
      <c r="F515" s="71" t="s">
        <v>367</v>
      </c>
      <c r="G515" s="71" t="s">
        <v>904</v>
      </c>
      <c r="H515" s="71" t="s">
        <v>371</v>
      </c>
    </row>
    <row r="516" spans="1:8" ht="58" x14ac:dyDescent="0.35">
      <c r="A516" s="195">
        <v>3</v>
      </c>
      <c r="B516" s="195">
        <v>17</v>
      </c>
      <c r="C516" s="195" t="s">
        <v>906</v>
      </c>
      <c r="D516" s="64">
        <v>3635</v>
      </c>
      <c r="E516" s="195" t="s">
        <v>373</v>
      </c>
      <c r="F516" s="71" t="s">
        <v>367</v>
      </c>
      <c r="G516" s="71" t="s">
        <v>904</v>
      </c>
      <c r="H516" s="71" t="s">
        <v>388</v>
      </c>
    </row>
    <row r="517" spans="1:8" ht="58" x14ac:dyDescent="0.35">
      <c r="A517" s="195">
        <v>3</v>
      </c>
      <c r="B517" s="195">
        <v>18</v>
      </c>
      <c r="C517" s="195" t="s">
        <v>907</v>
      </c>
      <c r="D517" s="64">
        <v>4660</v>
      </c>
      <c r="E517" s="195" t="s">
        <v>373</v>
      </c>
      <c r="F517" s="71" t="s">
        <v>367</v>
      </c>
      <c r="G517" s="71" t="s">
        <v>904</v>
      </c>
      <c r="H517" s="71" t="s">
        <v>397</v>
      </c>
    </row>
    <row r="518" spans="1:8" ht="58" x14ac:dyDescent="0.35">
      <c r="A518" s="195">
        <v>3</v>
      </c>
      <c r="B518" s="195">
        <v>19</v>
      </c>
      <c r="C518" s="195" t="s">
        <v>908</v>
      </c>
      <c r="D518" s="64">
        <v>2795</v>
      </c>
      <c r="E518" s="195" t="s">
        <v>373</v>
      </c>
      <c r="F518" s="71" t="s">
        <v>367</v>
      </c>
      <c r="G518" s="71" t="s">
        <v>904</v>
      </c>
      <c r="H518" s="71" t="s">
        <v>406</v>
      </c>
    </row>
    <row r="519" spans="1:8" ht="58" x14ac:dyDescent="0.35">
      <c r="A519" s="195">
        <v>3</v>
      </c>
      <c r="B519" s="195">
        <v>20</v>
      </c>
      <c r="C519" s="195" t="s">
        <v>909</v>
      </c>
      <c r="D519" s="64">
        <v>6205</v>
      </c>
      <c r="E519" s="195" t="s">
        <v>373</v>
      </c>
      <c r="F519" s="71" t="s">
        <v>367</v>
      </c>
      <c r="G519" s="71" t="s">
        <v>904</v>
      </c>
      <c r="H519" s="71" t="s">
        <v>415</v>
      </c>
    </row>
    <row r="520" spans="1:8" ht="43.5" x14ac:dyDescent="0.35">
      <c r="A520" s="195">
        <v>3</v>
      </c>
      <c r="B520" s="195">
        <v>21</v>
      </c>
      <c r="C520" s="195" t="s">
        <v>910</v>
      </c>
      <c r="D520" s="64">
        <v>150860</v>
      </c>
      <c r="E520" s="195" t="s">
        <v>366</v>
      </c>
      <c r="F520" s="71" t="s">
        <v>367</v>
      </c>
      <c r="G520" s="71" t="s">
        <v>911</v>
      </c>
      <c r="H520" s="71" t="s">
        <v>363</v>
      </c>
    </row>
    <row r="521" spans="1:8" ht="43.5" x14ac:dyDescent="0.35">
      <c r="A521" s="195">
        <v>3</v>
      </c>
      <c r="B521" s="195">
        <v>22</v>
      </c>
      <c r="C521" s="195" t="s">
        <v>912</v>
      </c>
      <c r="D521" s="64">
        <v>67705</v>
      </c>
      <c r="E521" s="195" t="s">
        <v>373</v>
      </c>
      <c r="F521" s="71" t="s">
        <v>367</v>
      </c>
      <c r="G521" s="71" t="s">
        <v>911</v>
      </c>
      <c r="H521" s="71" t="s">
        <v>371</v>
      </c>
    </row>
    <row r="522" spans="1:8" ht="43.5" x14ac:dyDescent="0.35">
      <c r="A522" s="195">
        <v>3</v>
      </c>
      <c r="B522" s="195">
        <v>23</v>
      </c>
      <c r="C522" s="195" t="s">
        <v>913</v>
      </c>
      <c r="D522" s="64">
        <v>42445</v>
      </c>
      <c r="E522" s="195" t="s">
        <v>373</v>
      </c>
      <c r="F522" s="71" t="s">
        <v>367</v>
      </c>
      <c r="G522" s="71" t="s">
        <v>911</v>
      </c>
      <c r="H522" s="71" t="s">
        <v>388</v>
      </c>
    </row>
    <row r="523" spans="1:8" ht="43.5" x14ac:dyDescent="0.35">
      <c r="A523" s="195">
        <v>3</v>
      </c>
      <c r="B523" s="195">
        <v>24</v>
      </c>
      <c r="C523" s="195" t="s">
        <v>914</v>
      </c>
      <c r="D523" s="64">
        <v>26790</v>
      </c>
      <c r="E523" s="195" t="s">
        <v>373</v>
      </c>
      <c r="F523" s="71" t="s">
        <v>367</v>
      </c>
      <c r="G523" s="71" t="s">
        <v>911</v>
      </c>
      <c r="H523" s="71" t="s">
        <v>397</v>
      </c>
    </row>
    <row r="524" spans="1:8" ht="43.5" x14ac:dyDescent="0.35">
      <c r="A524" s="195">
        <v>3</v>
      </c>
      <c r="B524" s="195">
        <v>25</v>
      </c>
      <c r="C524" s="195" t="s">
        <v>915</v>
      </c>
      <c r="D524" s="64">
        <v>6755</v>
      </c>
      <c r="E524" s="195" t="s">
        <v>373</v>
      </c>
      <c r="F524" s="71" t="s">
        <v>367</v>
      </c>
      <c r="G524" s="71" t="s">
        <v>911</v>
      </c>
      <c r="H524" s="71" t="s">
        <v>406</v>
      </c>
    </row>
    <row r="525" spans="1:8" ht="43.5" x14ac:dyDescent="0.35">
      <c r="A525" s="195">
        <v>3</v>
      </c>
      <c r="B525" s="195">
        <v>26</v>
      </c>
      <c r="C525" s="195" t="s">
        <v>916</v>
      </c>
      <c r="D525" s="64">
        <v>7160</v>
      </c>
      <c r="E525" s="195" t="s">
        <v>373</v>
      </c>
      <c r="F525" s="71" t="s">
        <v>367</v>
      </c>
      <c r="G525" s="71" t="s">
        <v>911</v>
      </c>
      <c r="H525" s="71" t="s">
        <v>415</v>
      </c>
    </row>
    <row r="526" spans="1:8" ht="58" x14ac:dyDescent="0.35">
      <c r="A526" s="195">
        <v>3</v>
      </c>
      <c r="B526" s="195">
        <v>27</v>
      </c>
      <c r="C526" s="195" t="s">
        <v>917</v>
      </c>
      <c r="D526" s="64">
        <v>184110</v>
      </c>
      <c r="E526" s="195" t="s">
        <v>366</v>
      </c>
      <c r="F526" s="71" t="s">
        <v>367</v>
      </c>
      <c r="G526" s="71" t="s">
        <v>918</v>
      </c>
      <c r="H526" s="71" t="s">
        <v>363</v>
      </c>
    </row>
    <row r="527" spans="1:8" ht="58" x14ac:dyDescent="0.35">
      <c r="A527" s="195">
        <v>3</v>
      </c>
      <c r="B527" s="195">
        <v>28</v>
      </c>
      <c r="C527" s="195" t="s">
        <v>919</v>
      </c>
      <c r="D527" s="64">
        <v>14020</v>
      </c>
      <c r="E527" s="195" t="s">
        <v>373</v>
      </c>
      <c r="F527" s="71" t="s">
        <v>367</v>
      </c>
      <c r="G527" s="71" t="s">
        <v>918</v>
      </c>
      <c r="H527" s="71" t="s">
        <v>371</v>
      </c>
    </row>
    <row r="528" spans="1:8" ht="58" x14ac:dyDescent="0.35">
      <c r="A528" s="195">
        <v>3</v>
      </c>
      <c r="B528" s="195">
        <v>29</v>
      </c>
      <c r="C528" s="195" t="s">
        <v>920</v>
      </c>
      <c r="D528" s="64">
        <v>34945</v>
      </c>
      <c r="E528" s="195" t="s">
        <v>373</v>
      </c>
      <c r="F528" s="71" t="s">
        <v>367</v>
      </c>
      <c r="G528" s="71" t="s">
        <v>918</v>
      </c>
      <c r="H528" s="71" t="s">
        <v>388</v>
      </c>
    </row>
    <row r="529" spans="1:8" ht="58" x14ac:dyDescent="0.35">
      <c r="A529" s="195">
        <v>3</v>
      </c>
      <c r="B529" s="195">
        <v>30</v>
      </c>
      <c r="C529" s="195" t="s">
        <v>921</v>
      </c>
      <c r="D529" s="64">
        <v>55880</v>
      </c>
      <c r="E529" s="195" t="s">
        <v>373</v>
      </c>
      <c r="F529" s="71" t="s">
        <v>367</v>
      </c>
      <c r="G529" s="71" t="s">
        <v>918</v>
      </c>
      <c r="H529" s="71" t="s">
        <v>397</v>
      </c>
    </row>
    <row r="530" spans="1:8" ht="58" x14ac:dyDescent="0.35">
      <c r="A530" s="195">
        <v>3</v>
      </c>
      <c r="B530" s="195">
        <v>31</v>
      </c>
      <c r="C530" s="195" t="s">
        <v>922</v>
      </c>
      <c r="D530" s="64">
        <v>29050</v>
      </c>
      <c r="E530" s="195" t="s">
        <v>373</v>
      </c>
      <c r="F530" s="71" t="s">
        <v>367</v>
      </c>
      <c r="G530" s="71" t="s">
        <v>918</v>
      </c>
      <c r="H530" s="71" t="s">
        <v>406</v>
      </c>
    </row>
    <row r="531" spans="1:8" ht="58" x14ac:dyDescent="0.35">
      <c r="A531" s="195">
        <v>3</v>
      </c>
      <c r="B531" s="195">
        <v>32</v>
      </c>
      <c r="C531" s="195" t="s">
        <v>923</v>
      </c>
      <c r="D531" s="64">
        <v>50220</v>
      </c>
      <c r="E531" s="195" t="s">
        <v>373</v>
      </c>
      <c r="F531" s="71" t="s">
        <v>367</v>
      </c>
      <c r="G531" s="71" t="s">
        <v>918</v>
      </c>
      <c r="H531" s="71" t="s">
        <v>415</v>
      </c>
    </row>
    <row r="532" spans="1:8" ht="43.5" x14ac:dyDescent="0.35">
      <c r="A532" s="195">
        <v>3</v>
      </c>
      <c r="B532" s="195">
        <v>33</v>
      </c>
      <c r="C532" s="195" t="s">
        <v>924</v>
      </c>
      <c r="D532" s="64">
        <v>10065</v>
      </c>
      <c r="E532" s="195" t="s">
        <v>366</v>
      </c>
      <c r="F532" s="71" t="s">
        <v>367</v>
      </c>
      <c r="G532" s="71" t="s">
        <v>925</v>
      </c>
      <c r="H532" s="71" t="s">
        <v>363</v>
      </c>
    </row>
    <row r="533" spans="1:8" ht="43.5" x14ac:dyDescent="0.35">
      <c r="A533" s="195">
        <v>3</v>
      </c>
      <c r="B533" s="195">
        <v>34</v>
      </c>
      <c r="C533" s="195" t="s">
        <v>926</v>
      </c>
      <c r="D533" s="64">
        <v>10065</v>
      </c>
      <c r="E533" s="195" t="s">
        <v>373</v>
      </c>
      <c r="F533" s="71" t="s">
        <v>367</v>
      </c>
      <c r="G533" s="71" t="s">
        <v>925</v>
      </c>
      <c r="H533" s="71" t="s">
        <v>371</v>
      </c>
    </row>
    <row r="534" spans="1:8" ht="43.5" x14ac:dyDescent="0.35">
      <c r="A534" s="195">
        <v>3</v>
      </c>
      <c r="B534" s="195">
        <v>35</v>
      </c>
      <c r="C534" s="195" t="s">
        <v>927</v>
      </c>
      <c r="D534" s="195">
        <v>0</v>
      </c>
      <c r="E534" s="195" t="s">
        <v>373</v>
      </c>
      <c r="F534" s="71" t="s">
        <v>367</v>
      </c>
      <c r="G534" s="71" t="s">
        <v>925</v>
      </c>
      <c r="H534" s="71" t="s">
        <v>388</v>
      </c>
    </row>
    <row r="535" spans="1:8" ht="43.5" x14ac:dyDescent="0.35">
      <c r="A535" s="195">
        <v>3</v>
      </c>
      <c r="B535" s="195">
        <v>36</v>
      </c>
      <c r="C535" s="195" t="s">
        <v>928</v>
      </c>
      <c r="D535" s="195">
        <v>0</v>
      </c>
      <c r="E535" s="195" t="s">
        <v>373</v>
      </c>
      <c r="F535" s="71" t="s">
        <v>367</v>
      </c>
      <c r="G535" s="71" t="s">
        <v>925</v>
      </c>
      <c r="H535" s="71" t="s">
        <v>397</v>
      </c>
    </row>
    <row r="536" spans="1:8" ht="43.5" x14ac:dyDescent="0.35">
      <c r="A536" s="195">
        <v>3</v>
      </c>
      <c r="B536" s="195">
        <v>37</v>
      </c>
      <c r="C536" s="195" t="s">
        <v>929</v>
      </c>
      <c r="D536" s="195">
        <v>0</v>
      </c>
      <c r="E536" s="195" t="s">
        <v>373</v>
      </c>
      <c r="F536" s="71" t="s">
        <v>367</v>
      </c>
      <c r="G536" s="71" t="s">
        <v>925</v>
      </c>
      <c r="H536" s="71" t="s">
        <v>406</v>
      </c>
    </row>
    <row r="537" spans="1:8" ht="43.5" x14ac:dyDescent="0.35">
      <c r="A537" s="195">
        <v>3</v>
      </c>
      <c r="B537" s="195">
        <v>38</v>
      </c>
      <c r="C537" s="195" t="s">
        <v>930</v>
      </c>
      <c r="D537" s="195">
        <v>0</v>
      </c>
      <c r="E537" s="195" t="s">
        <v>373</v>
      </c>
      <c r="F537" s="71" t="s">
        <v>367</v>
      </c>
      <c r="G537" s="71" t="s">
        <v>925</v>
      </c>
      <c r="H537" s="71" t="s">
        <v>415</v>
      </c>
    </row>
    <row r="538" spans="1:8" ht="43.5" x14ac:dyDescent="0.35">
      <c r="A538" s="195">
        <v>3</v>
      </c>
      <c r="B538" s="195">
        <v>39</v>
      </c>
      <c r="C538" s="195" t="s">
        <v>931</v>
      </c>
      <c r="D538" s="64">
        <v>732600</v>
      </c>
      <c r="E538" s="195" t="s">
        <v>366</v>
      </c>
      <c r="F538" s="71" t="s">
        <v>367</v>
      </c>
      <c r="G538" s="71" t="s">
        <v>932</v>
      </c>
      <c r="H538" s="71" t="s">
        <v>363</v>
      </c>
    </row>
    <row r="539" spans="1:8" ht="43.5" x14ac:dyDescent="0.35">
      <c r="A539" s="195">
        <v>3</v>
      </c>
      <c r="B539" s="195">
        <v>40</v>
      </c>
      <c r="C539" s="195" t="s">
        <v>933</v>
      </c>
      <c r="D539" s="64">
        <v>8670</v>
      </c>
      <c r="E539" s="195" t="s">
        <v>373</v>
      </c>
      <c r="F539" s="71" t="s">
        <v>367</v>
      </c>
      <c r="G539" s="71" t="s">
        <v>932</v>
      </c>
      <c r="H539" s="71" t="s">
        <v>371</v>
      </c>
    </row>
    <row r="540" spans="1:8" ht="43.5" x14ac:dyDescent="0.35">
      <c r="A540" s="195">
        <v>3</v>
      </c>
      <c r="B540" s="195">
        <v>41</v>
      </c>
      <c r="C540" s="195" t="s">
        <v>934</v>
      </c>
      <c r="D540" s="64">
        <v>35580</v>
      </c>
      <c r="E540" s="195" t="s">
        <v>373</v>
      </c>
      <c r="F540" s="71" t="s">
        <v>367</v>
      </c>
      <c r="G540" s="71" t="s">
        <v>932</v>
      </c>
      <c r="H540" s="71" t="s">
        <v>388</v>
      </c>
    </row>
    <row r="541" spans="1:8" ht="43.5" x14ac:dyDescent="0.35">
      <c r="A541" s="195">
        <v>3</v>
      </c>
      <c r="B541" s="195">
        <v>42</v>
      </c>
      <c r="C541" s="195" t="s">
        <v>935</v>
      </c>
      <c r="D541" s="64">
        <v>85215</v>
      </c>
      <c r="E541" s="195" t="s">
        <v>373</v>
      </c>
      <c r="F541" s="71" t="s">
        <v>367</v>
      </c>
      <c r="G541" s="71" t="s">
        <v>932</v>
      </c>
      <c r="H541" s="71" t="s">
        <v>397</v>
      </c>
    </row>
    <row r="542" spans="1:8" ht="43.5" x14ac:dyDescent="0.35">
      <c r="A542" s="195">
        <v>3</v>
      </c>
      <c r="B542" s="195">
        <v>43</v>
      </c>
      <c r="C542" s="195" t="s">
        <v>936</v>
      </c>
      <c r="D542" s="64">
        <v>74685</v>
      </c>
      <c r="E542" s="195" t="s">
        <v>373</v>
      </c>
      <c r="F542" s="71" t="s">
        <v>367</v>
      </c>
      <c r="G542" s="71" t="s">
        <v>932</v>
      </c>
      <c r="H542" s="71" t="s">
        <v>406</v>
      </c>
    </row>
    <row r="543" spans="1:8" ht="43.5" x14ac:dyDescent="0.35">
      <c r="A543" s="195">
        <v>3</v>
      </c>
      <c r="B543" s="195">
        <v>44</v>
      </c>
      <c r="C543" s="195" t="s">
        <v>937</v>
      </c>
      <c r="D543" s="64">
        <v>528445</v>
      </c>
      <c r="E543" s="195" t="s">
        <v>373</v>
      </c>
      <c r="F543" s="71" t="s">
        <v>367</v>
      </c>
      <c r="G543" s="71" t="s">
        <v>932</v>
      </c>
      <c r="H543" s="71" t="s">
        <v>415</v>
      </c>
    </row>
    <row r="544" spans="1:8" ht="29" x14ac:dyDescent="0.35">
      <c r="A544" s="195">
        <v>3</v>
      </c>
      <c r="B544" s="195">
        <v>45</v>
      </c>
      <c r="C544" s="195" t="s">
        <v>938</v>
      </c>
      <c r="D544" s="64">
        <v>846440</v>
      </c>
      <c r="E544" s="195" t="s">
        <v>366</v>
      </c>
      <c r="F544" s="71" t="s">
        <v>508</v>
      </c>
      <c r="G544" s="71" t="s">
        <v>887</v>
      </c>
      <c r="H544" s="71" t="s">
        <v>363</v>
      </c>
    </row>
    <row r="545" spans="1:8" ht="43.5" x14ac:dyDescent="0.35">
      <c r="A545" s="195">
        <v>3</v>
      </c>
      <c r="B545" s="195">
        <v>46</v>
      </c>
      <c r="C545" s="195" t="s">
        <v>939</v>
      </c>
      <c r="D545" s="64">
        <v>11885</v>
      </c>
      <c r="E545" s="195" t="s">
        <v>366</v>
      </c>
      <c r="F545" s="71" t="s">
        <v>508</v>
      </c>
      <c r="G545" s="71" t="s">
        <v>890</v>
      </c>
      <c r="H545" s="71" t="s">
        <v>363</v>
      </c>
    </row>
    <row r="546" spans="1:8" ht="43.5" x14ac:dyDescent="0.35">
      <c r="A546" s="195">
        <v>3</v>
      </c>
      <c r="B546" s="195">
        <v>47</v>
      </c>
      <c r="C546" s="195" t="s">
        <v>940</v>
      </c>
      <c r="D546" s="64">
        <v>6175</v>
      </c>
      <c r="E546" s="195" t="s">
        <v>373</v>
      </c>
      <c r="F546" s="71" t="s">
        <v>508</v>
      </c>
      <c r="G546" s="71" t="s">
        <v>890</v>
      </c>
      <c r="H546" s="71" t="s">
        <v>371</v>
      </c>
    </row>
    <row r="547" spans="1:8" ht="43.5" x14ac:dyDescent="0.35">
      <c r="A547" s="195">
        <v>3</v>
      </c>
      <c r="B547" s="195">
        <v>48</v>
      </c>
      <c r="C547" s="195" t="s">
        <v>941</v>
      </c>
      <c r="D547" s="64">
        <v>2185</v>
      </c>
      <c r="E547" s="195" t="s">
        <v>373</v>
      </c>
      <c r="F547" s="71" t="s">
        <v>508</v>
      </c>
      <c r="G547" s="71" t="s">
        <v>890</v>
      </c>
      <c r="H547" s="71" t="s">
        <v>388</v>
      </c>
    </row>
    <row r="548" spans="1:8" ht="43.5" x14ac:dyDescent="0.35">
      <c r="A548" s="195">
        <v>3</v>
      </c>
      <c r="B548" s="195">
        <v>49</v>
      </c>
      <c r="C548" s="195" t="s">
        <v>942</v>
      </c>
      <c r="D548" s="64">
        <v>1315</v>
      </c>
      <c r="E548" s="195" t="s">
        <v>373</v>
      </c>
      <c r="F548" s="71" t="s">
        <v>508</v>
      </c>
      <c r="G548" s="71" t="s">
        <v>890</v>
      </c>
      <c r="H548" s="71" t="s">
        <v>397</v>
      </c>
    </row>
    <row r="549" spans="1:8" ht="43.5" x14ac:dyDescent="0.35">
      <c r="A549" s="195">
        <v>3</v>
      </c>
      <c r="B549" s="195">
        <v>50</v>
      </c>
      <c r="C549" s="195" t="s">
        <v>943</v>
      </c>
      <c r="D549" s="195">
        <v>505</v>
      </c>
      <c r="E549" s="195" t="s">
        <v>373</v>
      </c>
      <c r="F549" s="71" t="s">
        <v>508</v>
      </c>
      <c r="G549" s="71" t="s">
        <v>890</v>
      </c>
      <c r="H549" s="71" t="s">
        <v>406</v>
      </c>
    </row>
    <row r="550" spans="1:8" ht="43.5" x14ac:dyDescent="0.35">
      <c r="A550" s="195">
        <v>3</v>
      </c>
      <c r="B550" s="195">
        <v>51</v>
      </c>
      <c r="C550" s="195" t="s">
        <v>944</v>
      </c>
      <c r="D550" s="64">
        <v>1710</v>
      </c>
      <c r="E550" s="195" t="s">
        <v>373</v>
      </c>
      <c r="F550" s="71" t="s">
        <v>508</v>
      </c>
      <c r="G550" s="71" t="s">
        <v>890</v>
      </c>
      <c r="H550" s="71" t="s">
        <v>415</v>
      </c>
    </row>
    <row r="551" spans="1:8" ht="43.5" x14ac:dyDescent="0.35">
      <c r="A551" s="195">
        <v>3</v>
      </c>
      <c r="B551" s="195">
        <v>52</v>
      </c>
      <c r="C551" s="195" t="s">
        <v>945</v>
      </c>
      <c r="D551" s="64">
        <v>14640</v>
      </c>
      <c r="E551" s="195" t="s">
        <v>366</v>
      </c>
      <c r="F551" s="71" t="s">
        <v>508</v>
      </c>
      <c r="G551" s="71" t="s">
        <v>897</v>
      </c>
      <c r="H551" s="71" t="s">
        <v>363</v>
      </c>
    </row>
    <row r="552" spans="1:8" ht="43.5" x14ac:dyDescent="0.35">
      <c r="A552" s="195">
        <v>3</v>
      </c>
      <c r="B552" s="195">
        <v>53</v>
      </c>
      <c r="C552" s="195" t="s">
        <v>946</v>
      </c>
      <c r="D552" s="64">
        <v>4940</v>
      </c>
      <c r="E552" s="195" t="s">
        <v>373</v>
      </c>
      <c r="F552" s="71" t="s">
        <v>508</v>
      </c>
      <c r="G552" s="71" t="s">
        <v>897</v>
      </c>
      <c r="H552" s="71" t="s">
        <v>371</v>
      </c>
    </row>
    <row r="553" spans="1:8" ht="43.5" x14ac:dyDescent="0.35">
      <c r="A553" s="195">
        <v>3</v>
      </c>
      <c r="B553" s="195">
        <v>54</v>
      </c>
      <c r="C553" s="195" t="s">
        <v>947</v>
      </c>
      <c r="D553" s="64">
        <v>3410</v>
      </c>
      <c r="E553" s="195" t="s">
        <v>373</v>
      </c>
      <c r="F553" s="71" t="s">
        <v>508</v>
      </c>
      <c r="G553" s="71" t="s">
        <v>897</v>
      </c>
      <c r="H553" s="71" t="s">
        <v>388</v>
      </c>
    </row>
    <row r="554" spans="1:8" ht="43.5" x14ac:dyDescent="0.35">
      <c r="A554" s="195">
        <v>3</v>
      </c>
      <c r="B554" s="195">
        <v>55</v>
      </c>
      <c r="C554" s="195" t="s">
        <v>948</v>
      </c>
      <c r="D554" s="64">
        <v>2760</v>
      </c>
      <c r="E554" s="195" t="s">
        <v>373</v>
      </c>
      <c r="F554" s="71" t="s">
        <v>508</v>
      </c>
      <c r="G554" s="71" t="s">
        <v>897</v>
      </c>
      <c r="H554" s="71" t="s">
        <v>397</v>
      </c>
    </row>
    <row r="555" spans="1:8" ht="43.5" x14ac:dyDescent="0.35">
      <c r="A555" s="195">
        <v>3</v>
      </c>
      <c r="B555" s="195">
        <v>56</v>
      </c>
      <c r="C555" s="195" t="s">
        <v>949</v>
      </c>
      <c r="D555" s="64">
        <v>1135</v>
      </c>
      <c r="E555" s="195" t="s">
        <v>373</v>
      </c>
      <c r="F555" s="71" t="s">
        <v>508</v>
      </c>
      <c r="G555" s="71" t="s">
        <v>897</v>
      </c>
      <c r="H555" s="71" t="s">
        <v>406</v>
      </c>
    </row>
    <row r="556" spans="1:8" ht="43.5" x14ac:dyDescent="0.35">
      <c r="A556" s="195">
        <v>3</v>
      </c>
      <c r="B556" s="195">
        <v>57</v>
      </c>
      <c r="C556" s="195" t="s">
        <v>950</v>
      </c>
      <c r="D556" s="64">
        <v>2390</v>
      </c>
      <c r="E556" s="195" t="s">
        <v>373</v>
      </c>
      <c r="F556" s="71" t="s">
        <v>508</v>
      </c>
      <c r="G556" s="71" t="s">
        <v>897</v>
      </c>
      <c r="H556" s="71" t="s">
        <v>415</v>
      </c>
    </row>
    <row r="557" spans="1:8" ht="58" x14ac:dyDescent="0.35">
      <c r="A557" s="195">
        <v>3</v>
      </c>
      <c r="B557" s="195">
        <v>58</v>
      </c>
      <c r="C557" s="195" t="s">
        <v>951</v>
      </c>
      <c r="D557" s="64">
        <v>31860</v>
      </c>
      <c r="E557" s="195" t="s">
        <v>366</v>
      </c>
      <c r="F557" s="71" t="s">
        <v>508</v>
      </c>
      <c r="G557" s="71" t="s">
        <v>904</v>
      </c>
      <c r="H557" s="71" t="s">
        <v>363</v>
      </c>
    </row>
    <row r="558" spans="1:8" ht="58" x14ac:dyDescent="0.35">
      <c r="A558" s="195">
        <v>3</v>
      </c>
      <c r="B558" s="195">
        <v>59</v>
      </c>
      <c r="C558" s="195" t="s">
        <v>952</v>
      </c>
      <c r="D558" s="64">
        <v>12180</v>
      </c>
      <c r="E558" s="195" t="s">
        <v>373</v>
      </c>
      <c r="F558" s="71" t="s">
        <v>508</v>
      </c>
      <c r="G558" s="71" t="s">
        <v>904</v>
      </c>
      <c r="H558" s="71" t="s">
        <v>371</v>
      </c>
    </row>
    <row r="559" spans="1:8" ht="58" x14ac:dyDescent="0.35">
      <c r="A559" s="195">
        <v>3</v>
      </c>
      <c r="B559" s="195">
        <v>60</v>
      </c>
      <c r="C559" s="195" t="s">
        <v>953</v>
      </c>
      <c r="D559" s="64">
        <v>8335</v>
      </c>
      <c r="E559" s="195" t="s">
        <v>373</v>
      </c>
      <c r="F559" s="71" t="s">
        <v>508</v>
      </c>
      <c r="G559" s="71" t="s">
        <v>904</v>
      </c>
      <c r="H559" s="71" t="s">
        <v>388</v>
      </c>
    </row>
    <row r="560" spans="1:8" ht="58" x14ac:dyDescent="0.35">
      <c r="A560" s="195">
        <v>3</v>
      </c>
      <c r="B560" s="195">
        <v>61</v>
      </c>
      <c r="C560" s="195" t="s">
        <v>954</v>
      </c>
      <c r="D560" s="64">
        <v>6415</v>
      </c>
      <c r="E560" s="195" t="s">
        <v>373</v>
      </c>
      <c r="F560" s="71" t="s">
        <v>508</v>
      </c>
      <c r="G560" s="71" t="s">
        <v>904</v>
      </c>
      <c r="H560" s="71" t="s">
        <v>397</v>
      </c>
    </row>
    <row r="561" spans="1:8" ht="58" x14ac:dyDescent="0.35">
      <c r="A561" s="195">
        <v>3</v>
      </c>
      <c r="B561" s="195">
        <v>62</v>
      </c>
      <c r="C561" s="195" t="s">
        <v>955</v>
      </c>
      <c r="D561" s="64">
        <v>1945</v>
      </c>
      <c r="E561" s="195" t="s">
        <v>373</v>
      </c>
      <c r="F561" s="71" t="s">
        <v>508</v>
      </c>
      <c r="G561" s="71" t="s">
        <v>904</v>
      </c>
      <c r="H561" s="71" t="s">
        <v>406</v>
      </c>
    </row>
    <row r="562" spans="1:8" ht="58" x14ac:dyDescent="0.35">
      <c r="A562" s="195">
        <v>3</v>
      </c>
      <c r="B562" s="195">
        <v>63</v>
      </c>
      <c r="C562" s="195" t="s">
        <v>956</v>
      </c>
      <c r="D562" s="64">
        <v>2985</v>
      </c>
      <c r="E562" s="195" t="s">
        <v>373</v>
      </c>
      <c r="F562" s="71" t="s">
        <v>508</v>
      </c>
      <c r="G562" s="71" t="s">
        <v>904</v>
      </c>
      <c r="H562" s="71" t="s">
        <v>415</v>
      </c>
    </row>
    <row r="563" spans="1:8" ht="43.5" x14ac:dyDescent="0.35">
      <c r="A563" s="195">
        <v>3</v>
      </c>
      <c r="B563" s="195">
        <v>64</v>
      </c>
      <c r="C563" s="195" t="s">
        <v>957</v>
      </c>
      <c r="D563" s="64">
        <v>195865</v>
      </c>
      <c r="E563" s="195" t="s">
        <v>366</v>
      </c>
      <c r="F563" s="71" t="s">
        <v>508</v>
      </c>
      <c r="G563" s="71" t="s">
        <v>911</v>
      </c>
      <c r="H563" s="71" t="s">
        <v>363</v>
      </c>
    </row>
    <row r="564" spans="1:8" ht="43.5" x14ac:dyDescent="0.35">
      <c r="A564" s="195">
        <v>3</v>
      </c>
      <c r="B564" s="195">
        <v>65</v>
      </c>
      <c r="C564" s="195" t="s">
        <v>958</v>
      </c>
      <c r="D564" s="64">
        <v>150350</v>
      </c>
      <c r="E564" s="195" t="s">
        <v>373</v>
      </c>
      <c r="F564" s="71" t="s">
        <v>508</v>
      </c>
      <c r="G564" s="71" t="s">
        <v>911</v>
      </c>
      <c r="H564" s="71" t="s">
        <v>371</v>
      </c>
    </row>
    <row r="565" spans="1:8" ht="43.5" x14ac:dyDescent="0.35">
      <c r="A565" s="195">
        <v>3</v>
      </c>
      <c r="B565" s="195">
        <v>66</v>
      </c>
      <c r="C565" s="195" t="s">
        <v>959</v>
      </c>
      <c r="D565" s="64">
        <v>36540</v>
      </c>
      <c r="E565" s="195" t="s">
        <v>373</v>
      </c>
      <c r="F565" s="71" t="s">
        <v>508</v>
      </c>
      <c r="G565" s="71" t="s">
        <v>911</v>
      </c>
      <c r="H565" s="71" t="s">
        <v>388</v>
      </c>
    </row>
    <row r="566" spans="1:8" ht="43.5" x14ac:dyDescent="0.35">
      <c r="A566" s="195">
        <v>3</v>
      </c>
      <c r="B566" s="195">
        <v>67</v>
      </c>
      <c r="C566" s="195" t="s">
        <v>960</v>
      </c>
      <c r="D566" s="64">
        <v>7475</v>
      </c>
      <c r="E566" s="195" t="s">
        <v>373</v>
      </c>
      <c r="F566" s="71" t="s">
        <v>508</v>
      </c>
      <c r="G566" s="71" t="s">
        <v>911</v>
      </c>
      <c r="H566" s="71" t="s">
        <v>397</v>
      </c>
    </row>
    <row r="567" spans="1:8" ht="43.5" x14ac:dyDescent="0.35">
      <c r="A567" s="195">
        <v>3</v>
      </c>
      <c r="B567" s="195">
        <v>68</v>
      </c>
      <c r="C567" s="195" t="s">
        <v>961</v>
      </c>
      <c r="D567" s="195">
        <v>980</v>
      </c>
      <c r="E567" s="195" t="s">
        <v>373</v>
      </c>
      <c r="F567" s="71" t="s">
        <v>508</v>
      </c>
      <c r="G567" s="71" t="s">
        <v>911</v>
      </c>
      <c r="H567" s="71" t="s">
        <v>406</v>
      </c>
    </row>
    <row r="568" spans="1:8" ht="43.5" x14ac:dyDescent="0.35">
      <c r="A568" s="195">
        <v>3</v>
      </c>
      <c r="B568" s="195">
        <v>69</v>
      </c>
      <c r="C568" s="195" t="s">
        <v>962</v>
      </c>
      <c r="D568" s="195">
        <v>525</v>
      </c>
      <c r="E568" s="195" t="s">
        <v>373</v>
      </c>
      <c r="F568" s="71" t="s">
        <v>508</v>
      </c>
      <c r="G568" s="71" t="s">
        <v>911</v>
      </c>
      <c r="H568" s="71" t="s">
        <v>415</v>
      </c>
    </row>
    <row r="569" spans="1:8" ht="58" x14ac:dyDescent="0.35">
      <c r="A569" s="195">
        <v>3</v>
      </c>
      <c r="B569" s="195">
        <v>70</v>
      </c>
      <c r="C569" s="195" t="s">
        <v>963</v>
      </c>
      <c r="D569" s="64">
        <v>165020</v>
      </c>
      <c r="E569" s="195" t="s">
        <v>366</v>
      </c>
      <c r="F569" s="71" t="s">
        <v>508</v>
      </c>
      <c r="G569" s="71" t="s">
        <v>918</v>
      </c>
      <c r="H569" s="71" t="s">
        <v>363</v>
      </c>
    </row>
    <row r="570" spans="1:8" ht="58" x14ac:dyDescent="0.35">
      <c r="A570" s="195">
        <v>3</v>
      </c>
      <c r="B570" s="195">
        <v>71</v>
      </c>
      <c r="C570" s="195" t="s">
        <v>964</v>
      </c>
      <c r="D570" s="64">
        <v>30020</v>
      </c>
      <c r="E570" s="195" t="s">
        <v>373</v>
      </c>
      <c r="F570" s="71" t="s">
        <v>508</v>
      </c>
      <c r="G570" s="71" t="s">
        <v>918</v>
      </c>
      <c r="H570" s="71" t="s">
        <v>371</v>
      </c>
    </row>
    <row r="571" spans="1:8" ht="58" x14ac:dyDescent="0.35">
      <c r="A571" s="195">
        <v>3</v>
      </c>
      <c r="B571" s="195">
        <v>72</v>
      </c>
      <c r="C571" s="195" t="s">
        <v>965</v>
      </c>
      <c r="D571" s="64">
        <v>68600</v>
      </c>
      <c r="E571" s="195" t="s">
        <v>373</v>
      </c>
      <c r="F571" s="71" t="s">
        <v>508</v>
      </c>
      <c r="G571" s="71" t="s">
        <v>918</v>
      </c>
      <c r="H571" s="71" t="s">
        <v>388</v>
      </c>
    </row>
    <row r="572" spans="1:8" ht="58" x14ac:dyDescent="0.35">
      <c r="A572" s="195">
        <v>3</v>
      </c>
      <c r="B572" s="195">
        <v>73</v>
      </c>
      <c r="C572" s="195" t="s">
        <v>966</v>
      </c>
      <c r="D572" s="64">
        <v>45620</v>
      </c>
      <c r="E572" s="195" t="s">
        <v>373</v>
      </c>
      <c r="F572" s="71" t="s">
        <v>508</v>
      </c>
      <c r="G572" s="71" t="s">
        <v>918</v>
      </c>
      <c r="H572" s="71" t="s">
        <v>397</v>
      </c>
    </row>
    <row r="573" spans="1:8" ht="58" x14ac:dyDescent="0.35">
      <c r="A573" s="195">
        <v>3</v>
      </c>
      <c r="B573" s="195">
        <v>74</v>
      </c>
      <c r="C573" s="195" t="s">
        <v>967</v>
      </c>
      <c r="D573" s="64">
        <v>11285</v>
      </c>
      <c r="E573" s="195" t="s">
        <v>373</v>
      </c>
      <c r="F573" s="71" t="s">
        <v>508</v>
      </c>
      <c r="G573" s="71" t="s">
        <v>918</v>
      </c>
      <c r="H573" s="71" t="s">
        <v>406</v>
      </c>
    </row>
    <row r="574" spans="1:8" ht="58" x14ac:dyDescent="0.35">
      <c r="A574" s="195">
        <v>3</v>
      </c>
      <c r="B574" s="195">
        <v>75</v>
      </c>
      <c r="C574" s="195" t="s">
        <v>968</v>
      </c>
      <c r="D574" s="64">
        <v>9490</v>
      </c>
      <c r="E574" s="195" t="s">
        <v>373</v>
      </c>
      <c r="F574" s="71" t="s">
        <v>508</v>
      </c>
      <c r="G574" s="71" t="s">
        <v>918</v>
      </c>
      <c r="H574" s="71" t="s">
        <v>415</v>
      </c>
    </row>
    <row r="575" spans="1:8" ht="43.5" x14ac:dyDescent="0.35">
      <c r="A575" s="195">
        <v>3</v>
      </c>
      <c r="B575" s="195">
        <v>76</v>
      </c>
      <c r="C575" s="195" t="s">
        <v>969</v>
      </c>
      <c r="D575" s="64">
        <v>29870</v>
      </c>
      <c r="E575" s="195" t="s">
        <v>366</v>
      </c>
      <c r="F575" s="71" t="s">
        <v>508</v>
      </c>
      <c r="G575" s="71" t="s">
        <v>925</v>
      </c>
      <c r="H575" s="71" t="s">
        <v>363</v>
      </c>
    </row>
    <row r="576" spans="1:8" ht="43.5" x14ac:dyDescent="0.35">
      <c r="A576" s="195">
        <v>3</v>
      </c>
      <c r="B576" s="195">
        <v>77</v>
      </c>
      <c r="C576" s="195" t="s">
        <v>970</v>
      </c>
      <c r="D576" s="64">
        <v>29870</v>
      </c>
      <c r="E576" s="195" t="s">
        <v>373</v>
      </c>
      <c r="F576" s="71" t="s">
        <v>508</v>
      </c>
      <c r="G576" s="71" t="s">
        <v>925</v>
      </c>
      <c r="H576" s="71" t="s">
        <v>371</v>
      </c>
    </row>
    <row r="577" spans="1:9" ht="43.5" x14ac:dyDescent="0.35">
      <c r="A577" s="195">
        <v>3</v>
      </c>
      <c r="B577" s="195">
        <v>78</v>
      </c>
      <c r="C577" s="195" t="s">
        <v>971</v>
      </c>
      <c r="D577" s="195">
        <v>0</v>
      </c>
      <c r="E577" s="195" t="s">
        <v>373</v>
      </c>
      <c r="F577" s="71" t="s">
        <v>508</v>
      </c>
      <c r="G577" s="71" t="s">
        <v>925</v>
      </c>
      <c r="H577" s="71" t="s">
        <v>388</v>
      </c>
    </row>
    <row r="578" spans="1:9" ht="43.5" x14ac:dyDescent="0.35">
      <c r="A578" s="195">
        <v>3</v>
      </c>
      <c r="B578" s="195">
        <v>79</v>
      </c>
      <c r="C578" s="195" t="s">
        <v>972</v>
      </c>
      <c r="D578" s="195">
        <v>0</v>
      </c>
      <c r="E578" s="195" t="s">
        <v>373</v>
      </c>
      <c r="F578" s="71" t="s">
        <v>508</v>
      </c>
      <c r="G578" s="71" t="s">
        <v>925</v>
      </c>
      <c r="H578" s="71" t="s">
        <v>397</v>
      </c>
    </row>
    <row r="579" spans="1:9" ht="43.5" x14ac:dyDescent="0.35">
      <c r="A579" s="195">
        <v>3</v>
      </c>
      <c r="B579" s="195">
        <v>80</v>
      </c>
      <c r="C579" s="195" t="s">
        <v>973</v>
      </c>
      <c r="D579" s="195">
        <v>0</v>
      </c>
      <c r="E579" s="195" t="s">
        <v>373</v>
      </c>
      <c r="F579" s="71" t="s">
        <v>508</v>
      </c>
      <c r="G579" s="71" t="s">
        <v>925</v>
      </c>
      <c r="H579" s="71" t="s">
        <v>406</v>
      </c>
    </row>
    <row r="580" spans="1:9" ht="43.5" x14ac:dyDescent="0.35">
      <c r="A580" s="195">
        <v>3</v>
      </c>
      <c r="B580" s="195">
        <v>81</v>
      </c>
      <c r="C580" s="195" t="s">
        <v>974</v>
      </c>
      <c r="D580" s="195">
        <v>0</v>
      </c>
      <c r="E580" s="195" t="s">
        <v>373</v>
      </c>
      <c r="F580" s="71" t="s">
        <v>508</v>
      </c>
      <c r="G580" s="71" t="s">
        <v>925</v>
      </c>
      <c r="H580" s="71" t="s">
        <v>415</v>
      </c>
    </row>
    <row r="581" spans="1:9" ht="43.5" x14ac:dyDescent="0.35">
      <c r="A581" s="195">
        <v>3</v>
      </c>
      <c r="B581" s="195">
        <v>82</v>
      </c>
      <c r="C581" s="195" t="s">
        <v>975</v>
      </c>
      <c r="D581" s="64">
        <v>397305</v>
      </c>
      <c r="E581" s="195" t="s">
        <v>366</v>
      </c>
      <c r="F581" s="71" t="s">
        <v>508</v>
      </c>
      <c r="G581" s="71" t="s">
        <v>932</v>
      </c>
      <c r="H581" s="71" t="s">
        <v>363</v>
      </c>
    </row>
    <row r="582" spans="1:9" ht="43.5" x14ac:dyDescent="0.35">
      <c r="A582" s="195">
        <v>3</v>
      </c>
      <c r="B582" s="195">
        <v>83</v>
      </c>
      <c r="C582" s="195" t="s">
        <v>976</v>
      </c>
      <c r="D582" s="64">
        <v>29680</v>
      </c>
      <c r="E582" s="195" t="s">
        <v>373</v>
      </c>
      <c r="F582" s="71" t="s">
        <v>508</v>
      </c>
      <c r="G582" s="71" t="s">
        <v>932</v>
      </c>
      <c r="H582" s="71" t="s">
        <v>371</v>
      </c>
    </row>
    <row r="583" spans="1:9" ht="43.5" x14ac:dyDescent="0.35">
      <c r="A583" s="195">
        <v>3</v>
      </c>
      <c r="B583" s="195">
        <v>84</v>
      </c>
      <c r="C583" s="195" t="s">
        <v>977</v>
      </c>
      <c r="D583" s="64">
        <v>28805</v>
      </c>
      <c r="E583" s="195" t="s">
        <v>373</v>
      </c>
      <c r="F583" s="71" t="s">
        <v>508</v>
      </c>
      <c r="G583" s="71" t="s">
        <v>932</v>
      </c>
      <c r="H583" s="71" t="s">
        <v>388</v>
      </c>
    </row>
    <row r="584" spans="1:9" ht="43.5" x14ac:dyDescent="0.35">
      <c r="A584" s="195">
        <v>3</v>
      </c>
      <c r="B584" s="195">
        <v>85</v>
      </c>
      <c r="C584" s="195" t="s">
        <v>978</v>
      </c>
      <c r="D584" s="64">
        <v>89840</v>
      </c>
      <c r="E584" s="195" t="s">
        <v>373</v>
      </c>
      <c r="F584" s="71" t="s">
        <v>508</v>
      </c>
      <c r="G584" s="71" t="s">
        <v>932</v>
      </c>
      <c r="H584" s="71" t="s">
        <v>397</v>
      </c>
    </row>
    <row r="585" spans="1:9" ht="43.5" x14ac:dyDescent="0.35">
      <c r="A585" s="195">
        <v>3</v>
      </c>
      <c r="B585" s="195">
        <v>86</v>
      </c>
      <c r="C585" s="195" t="s">
        <v>979</v>
      </c>
      <c r="D585" s="64">
        <v>57155</v>
      </c>
      <c r="E585" s="195" t="s">
        <v>373</v>
      </c>
      <c r="F585" s="71" t="s">
        <v>508</v>
      </c>
      <c r="G585" s="71" t="s">
        <v>932</v>
      </c>
      <c r="H585" s="71" t="s">
        <v>406</v>
      </c>
    </row>
    <row r="586" spans="1:9" ht="43.5" x14ac:dyDescent="0.35">
      <c r="A586" s="195">
        <v>3</v>
      </c>
      <c r="B586" s="195">
        <v>87</v>
      </c>
      <c r="C586" s="195" t="s">
        <v>980</v>
      </c>
      <c r="D586" s="64">
        <v>191820</v>
      </c>
      <c r="E586" s="195" t="s">
        <v>373</v>
      </c>
      <c r="F586" s="71" t="s">
        <v>508</v>
      </c>
      <c r="G586" s="71" t="s">
        <v>932</v>
      </c>
      <c r="H586" s="71" t="s">
        <v>415</v>
      </c>
    </row>
    <row r="587" spans="1:9" ht="29" x14ac:dyDescent="0.35">
      <c r="A587" s="195">
        <v>4</v>
      </c>
      <c r="B587" s="195">
        <v>1</v>
      </c>
      <c r="C587" s="195" t="s">
        <v>981</v>
      </c>
      <c r="D587" s="64">
        <v>1951605</v>
      </c>
      <c r="E587" s="195" t="s">
        <v>26</v>
      </c>
      <c r="F587" s="71" t="s">
        <v>361</v>
      </c>
      <c r="G587" s="71" t="s">
        <v>362</v>
      </c>
      <c r="H587" s="71" t="s">
        <v>982</v>
      </c>
      <c r="I587" s="71" t="s">
        <v>983</v>
      </c>
    </row>
    <row r="588" spans="1:9" x14ac:dyDescent="0.35">
      <c r="A588" s="195">
        <v>4</v>
      </c>
      <c r="B588" s="195">
        <v>2</v>
      </c>
      <c r="C588" s="195" t="s">
        <v>984</v>
      </c>
      <c r="D588" s="64">
        <v>1105170</v>
      </c>
      <c r="E588" s="195" t="s">
        <v>366</v>
      </c>
      <c r="F588" s="71" t="s">
        <v>367</v>
      </c>
      <c r="G588" s="71" t="s">
        <v>362</v>
      </c>
      <c r="H588" s="71" t="s">
        <v>982</v>
      </c>
      <c r="I588" s="71" t="s">
        <v>983</v>
      </c>
    </row>
    <row r="589" spans="1:9" ht="29" x14ac:dyDescent="0.35">
      <c r="A589" s="195">
        <v>4</v>
      </c>
      <c r="B589" s="195">
        <v>3</v>
      </c>
      <c r="C589" s="195" t="s">
        <v>985</v>
      </c>
      <c r="D589" s="64">
        <v>362505</v>
      </c>
      <c r="E589" s="195" t="s">
        <v>366</v>
      </c>
      <c r="F589" s="71" t="s">
        <v>367</v>
      </c>
      <c r="G589" s="71" t="s">
        <v>986</v>
      </c>
      <c r="H589" s="71" t="s">
        <v>982</v>
      </c>
      <c r="I589" s="71" t="s">
        <v>983</v>
      </c>
    </row>
    <row r="590" spans="1:9" ht="29" x14ac:dyDescent="0.35">
      <c r="A590" s="195">
        <v>4</v>
      </c>
      <c r="B590" s="195">
        <v>4</v>
      </c>
      <c r="C590" s="195" t="s">
        <v>987</v>
      </c>
      <c r="D590" s="64">
        <v>68575</v>
      </c>
      <c r="E590" s="195" t="s">
        <v>366</v>
      </c>
      <c r="F590" s="71" t="s">
        <v>367</v>
      </c>
      <c r="G590" s="71" t="s">
        <v>986</v>
      </c>
      <c r="H590" s="71" t="s">
        <v>988</v>
      </c>
      <c r="I590" s="71" t="s">
        <v>983</v>
      </c>
    </row>
    <row r="591" spans="1:9" ht="29" x14ac:dyDescent="0.35">
      <c r="A591" s="195">
        <v>4</v>
      </c>
      <c r="B591" s="195">
        <v>5</v>
      </c>
      <c r="C591" s="195" t="s">
        <v>989</v>
      </c>
      <c r="D591" s="64">
        <v>57025</v>
      </c>
      <c r="E591" s="195" t="s">
        <v>373</v>
      </c>
      <c r="F591" s="71" t="s">
        <v>367</v>
      </c>
      <c r="G591" s="71" t="s">
        <v>986</v>
      </c>
      <c r="H591" s="71" t="s">
        <v>988</v>
      </c>
      <c r="I591" s="71" t="s">
        <v>990</v>
      </c>
    </row>
    <row r="592" spans="1:9" ht="29" x14ac:dyDescent="0.35">
      <c r="A592" s="195">
        <v>4</v>
      </c>
      <c r="B592" s="195">
        <v>6</v>
      </c>
      <c r="C592" s="195" t="s">
        <v>991</v>
      </c>
      <c r="D592" s="64">
        <v>11550</v>
      </c>
      <c r="E592" s="195" t="s">
        <v>373</v>
      </c>
      <c r="F592" s="71" t="s">
        <v>367</v>
      </c>
      <c r="G592" s="71" t="s">
        <v>986</v>
      </c>
      <c r="H592" s="71" t="s">
        <v>988</v>
      </c>
      <c r="I592" s="71" t="s">
        <v>992</v>
      </c>
    </row>
    <row r="593" spans="1:9" ht="29" x14ac:dyDescent="0.35">
      <c r="A593" s="195">
        <v>4</v>
      </c>
      <c r="B593" s="195">
        <v>7</v>
      </c>
      <c r="C593" s="195" t="s">
        <v>993</v>
      </c>
      <c r="D593" s="64">
        <v>157900</v>
      </c>
      <c r="E593" s="195" t="s">
        <v>366</v>
      </c>
      <c r="F593" s="71" t="s">
        <v>367</v>
      </c>
      <c r="G593" s="71" t="s">
        <v>986</v>
      </c>
      <c r="H593" s="71" t="s">
        <v>994</v>
      </c>
      <c r="I593" s="71" t="s">
        <v>983</v>
      </c>
    </row>
    <row r="594" spans="1:9" ht="29" x14ac:dyDescent="0.35">
      <c r="A594" s="195">
        <v>4</v>
      </c>
      <c r="B594" s="195">
        <v>8</v>
      </c>
      <c r="C594" s="195" t="s">
        <v>995</v>
      </c>
      <c r="D594" s="64">
        <v>117650</v>
      </c>
      <c r="E594" s="195" t="s">
        <v>373</v>
      </c>
      <c r="F594" s="71" t="s">
        <v>367</v>
      </c>
      <c r="G594" s="71" t="s">
        <v>986</v>
      </c>
      <c r="H594" s="71" t="s">
        <v>994</v>
      </c>
      <c r="I594" s="71" t="s">
        <v>990</v>
      </c>
    </row>
    <row r="595" spans="1:9" ht="29" x14ac:dyDescent="0.35">
      <c r="A595" s="195">
        <v>4</v>
      </c>
      <c r="B595" s="195">
        <v>9</v>
      </c>
      <c r="C595" s="195" t="s">
        <v>996</v>
      </c>
      <c r="D595" s="64">
        <v>40245</v>
      </c>
      <c r="E595" s="195" t="s">
        <v>373</v>
      </c>
      <c r="F595" s="71" t="s">
        <v>367</v>
      </c>
      <c r="G595" s="71" t="s">
        <v>986</v>
      </c>
      <c r="H595" s="71" t="s">
        <v>994</v>
      </c>
      <c r="I595" s="71" t="s">
        <v>992</v>
      </c>
    </row>
    <row r="596" spans="1:9" ht="29" x14ac:dyDescent="0.35">
      <c r="A596" s="195">
        <v>4</v>
      </c>
      <c r="B596" s="195">
        <v>10</v>
      </c>
      <c r="C596" s="195" t="s">
        <v>997</v>
      </c>
      <c r="D596" s="64">
        <v>136035</v>
      </c>
      <c r="E596" s="195" t="s">
        <v>366</v>
      </c>
      <c r="F596" s="71" t="s">
        <v>367</v>
      </c>
      <c r="G596" s="71" t="s">
        <v>986</v>
      </c>
      <c r="H596" s="71" t="s">
        <v>998</v>
      </c>
      <c r="I596" s="71" t="s">
        <v>983</v>
      </c>
    </row>
    <row r="597" spans="1:9" ht="29" x14ac:dyDescent="0.35">
      <c r="A597" s="195">
        <v>4</v>
      </c>
      <c r="B597" s="195">
        <v>11</v>
      </c>
      <c r="C597" s="195" t="s">
        <v>999</v>
      </c>
      <c r="D597" s="64">
        <v>135880</v>
      </c>
      <c r="E597" s="195" t="s">
        <v>373</v>
      </c>
      <c r="F597" s="71" t="s">
        <v>367</v>
      </c>
      <c r="G597" s="71" t="s">
        <v>986</v>
      </c>
      <c r="H597" s="71" t="s">
        <v>998</v>
      </c>
      <c r="I597" s="71" t="s">
        <v>990</v>
      </c>
    </row>
    <row r="598" spans="1:9" ht="29" x14ac:dyDescent="0.35">
      <c r="A598" s="195">
        <v>4</v>
      </c>
      <c r="B598" s="195">
        <v>12</v>
      </c>
      <c r="C598" s="195" t="s">
        <v>1000</v>
      </c>
      <c r="D598" s="195">
        <v>155</v>
      </c>
      <c r="E598" s="195" t="s">
        <v>373</v>
      </c>
      <c r="F598" s="71" t="s">
        <v>367</v>
      </c>
      <c r="G598" s="71" t="s">
        <v>986</v>
      </c>
      <c r="H598" s="71" t="s">
        <v>998</v>
      </c>
      <c r="I598" s="71" t="s">
        <v>992</v>
      </c>
    </row>
    <row r="599" spans="1:9" ht="29" x14ac:dyDescent="0.35">
      <c r="A599" s="195">
        <v>4</v>
      </c>
      <c r="B599" s="195">
        <v>13</v>
      </c>
      <c r="C599" s="195" t="s">
        <v>1001</v>
      </c>
      <c r="D599" s="64">
        <v>732600</v>
      </c>
      <c r="E599" s="195" t="s">
        <v>366</v>
      </c>
      <c r="F599" s="71" t="s">
        <v>367</v>
      </c>
      <c r="G599" s="71" t="s">
        <v>424</v>
      </c>
      <c r="H599" s="71" t="s">
        <v>982</v>
      </c>
      <c r="I599" s="71" t="s">
        <v>983</v>
      </c>
    </row>
    <row r="600" spans="1:9" ht="29" x14ac:dyDescent="0.35">
      <c r="A600" s="195">
        <v>4</v>
      </c>
      <c r="B600" s="195">
        <v>14</v>
      </c>
      <c r="C600" s="195" t="s">
        <v>1002</v>
      </c>
      <c r="D600" s="64">
        <v>101535</v>
      </c>
      <c r="E600" s="195" t="s">
        <v>366</v>
      </c>
      <c r="F600" s="71" t="s">
        <v>367</v>
      </c>
      <c r="G600" s="71" t="s">
        <v>424</v>
      </c>
      <c r="H600" s="71" t="s">
        <v>988</v>
      </c>
      <c r="I600" s="71" t="s">
        <v>983</v>
      </c>
    </row>
    <row r="601" spans="1:9" ht="29" x14ac:dyDescent="0.35">
      <c r="A601" s="195">
        <v>4</v>
      </c>
      <c r="B601" s="195">
        <v>15</v>
      </c>
      <c r="C601" s="195" t="s">
        <v>1003</v>
      </c>
      <c r="D601" s="64">
        <v>89220</v>
      </c>
      <c r="E601" s="195" t="s">
        <v>373</v>
      </c>
      <c r="F601" s="71" t="s">
        <v>367</v>
      </c>
      <c r="G601" s="71" t="s">
        <v>424</v>
      </c>
      <c r="H601" s="71" t="s">
        <v>988</v>
      </c>
      <c r="I601" s="71" t="s">
        <v>990</v>
      </c>
    </row>
    <row r="602" spans="1:9" ht="29" x14ac:dyDescent="0.35">
      <c r="A602" s="195">
        <v>4</v>
      </c>
      <c r="B602" s="195">
        <v>16</v>
      </c>
      <c r="C602" s="195" t="s">
        <v>1004</v>
      </c>
      <c r="D602" s="64">
        <v>12320</v>
      </c>
      <c r="E602" s="195" t="s">
        <v>373</v>
      </c>
      <c r="F602" s="71" t="s">
        <v>367</v>
      </c>
      <c r="G602" s="71" t="s">
        <v>424</v>
      </c>
      <c r="H602" s="71" t="s">
        <v>988</v>
      </c>
      <c r="I602" s="71" t="s">
        <v>992</v>
      </c>
    </row>
    <row r="603" spans="1:9" ht="29" x14ac:dyDescent="0.35">
      <c r="A603" s="195">
        <v>4</v>
      </c>
      <c r="B603" s="195">
        <v>17</v>
      </c>
      <c r="C603" s="195" t="s">
        <v>1005</v>
      </c>
      <c r="D603" s="64">
        <v>445745</v>
      </c>
      <c r="E603" s="195" t="s">
        <v>366</v>
      </c>
      <c r="F603" s="71" t="s">
        <v>367</v>
      </c>
      <c r="G603" s="71" t="s">
        <v>424</v>
      </c>
      <c r="H603" s="71" t="s">
        <v>994</v>
      </c>
      <c r="I603" s="71" t="s">
        <v>983</v>
      </c>
    </row>
    <row r="604" spans="1:9" ht="29" x14ac:dyDescent="0.35">
      <c r="A604" s="195">
        <v>4</v>
      </c>
      <c r="B604" s="195">
        <v>18</v>
      </c>
      <c r="C604" s="195" t="s">
        <v>1006</v>
      </c>
      <c r="D604" s="64">
        <v>380210</v>
      </c>
      <c r="E604" s="195" t="s">
        <v>373</v>
      </c>
      <c r="F604" s="71" t="s">
        <v>367</v>
      </c>
      <c r="G604" s="71" t="s">
        <v>424</v>
      </c>
      <c r="H604" s="71" t="s">
        <v>994</v>
      </c>
      <c r="I604" s="71" t="s">
        <v>990</v>
      </c>
    </row>
    <row r="605" spans="1:9" ht="29" x14ac:dyDescent="0.35">
      <c r="A605" s="195">
        <v>4</v>
      </c>
      <c r="B605" s="195">
        <v>19</v>
      </c>
      <c r="C605" s="195" t="s">
        <v>1007</v>
      </c>
      <c r="D605" s="64">
        <v>65535</v>
      </c>
      <c r="E605" s="195" t="s">
        <v>373</v>
      </c>
      <c r="F605" s="71" t="s">
        <v>367</v>
      </c>
      <c r="G605" s="71" t="s">
        <v>424</v>
      </c>
      <c r="H605" s="71" t="s">
        <v>994</v>
      </c>
      <c r="I605" s="71" t="s">
        <v>992</v>
      </c>
    </row>
    <row r="606" spans="1:9" ht="29" x14ac:dyDescent="0.35">
      <c r="A606" s="195">
        <v>4</v>
      </c>
      <c r="B606" s="195">
        <v>20</v>
      </c>
      <c r="C606" s="195" t="s">
        <v>1008</v>
      </c>
      <c r="D606" s="64">
        <v>185320</v>
      </c>
      <c r="E606" s="195" t="s">
        <v>366</v>
      </c>
      <c r="F606" s="71" t="s">
        <v>367</v>
      </c>
      <c r="G606" s="71" t="s">
        <v>424</v>
      </c>
      <c r="H606" s="71" t="s">
        <v>998</v>
      </c>
      <c r="I606" s="71" t="s">
        <v>983</v>
      </c>
    </row>
    <row r="607" spans="1:9" ht="29" x14ac:dyDescent="0.35">
      <c r="A607" s="195">
        <v>4</v>
      </c>
      <c r="B607" s="195">
        <v>21</v>
      </c>
      <c r="C607" s="195" t="s">
        <v>1009</v>
      </c>
      <c r="D607" s="64">
        <v>184940</v>
      </c>
      <c r="E607" s="195" t="s">
        <v>373</v>
      </c>
      <c r="F607" s="71" t="s">
        <v>367</v>
      </c>
      <c r="G607" s="71" t="s">
        <v>424</v>
      </c>
      <c r="H607" s="71" t="s">
        <v>998</v>
      </c>
      <c r="I607" s="71" t="s">
        <v>990</v>
      </c>
    </row>
    <row r="608" spans="1:9" ht="29" x14ac:dyDescent="0.35">
      <c r="A608" s="195">
        <v>4</v>
      </c>
      <c r="B608" s="195">
        <v>22</v>
      </c>
      <c r="C608" s="195" t="s">
        <v>1010</v>
      </c>
      <c r="D608" s="195">
        <v>380</v>
      </c>
      <c r="E608" s="195" t="s">
        <v>373</v>
      </c>
      <c r="F608" s="71" t="s">
        <v>367</v>
      </c>
      <c r="G608" s="71" t="s">
        <v>424</v>
      </c>
      <c r="H608" s="71" t="s">
        <v>998</v>
      </c>
      <c r="I608" s="71" t="s">
        <v>992</v>
      </c>
    </row>
    <row r="609" spans="1:9" ht="43.5" x14ac:dyDescent="0.35">
      <c r="A609" s="195">
        <v>4</v>
      </c>
      <c r="B609" s="195">
        <v>23</v>
      </c>
      <c r="C609" s="195" t="s">
        <v>1011</v>
      </c>
      <c r="D609" s="64">
        <v>10065</v>
      </c>
      <c r="E609" s="195" t="s">
        <v>366</v>
      </c>
      <c r="F609" s="71" t="s">
        <v>367</v>
      </c>
      <c r="G609" s="71" t="s">
        <v>466</v>
      </c>
      <c r="H609" s="71" t="s">
        <v>982</v>
      </c>
      <c r="I609" s="71" t="s">
        <v>983</v>
      </c>
    </row>
    <row r="610" spans="1:9" ht="58" x14ac:dyDescent="0.35">
      <c r="A610" s="195">
        <v>4</v>
      </c>
      <c r="B610" s="195">
        <v>24</v>
      </c>
      <c r="C610" s="195" t="s">
        <v>1012</v>
      </c>
      <c r="D610" s="64">
        <v>1560</v>
      </c>
      <c r="E610" s="195" t="s">
        <v>366</v>
      </c>
      <c r="F610" s="71" t="s">
        <v>367</v>
      </c>
      <c r="G610" s="71" t="s">
        <v>1013</v>
      </c>
      <c r="H610" s="71" t="s">
        <v>988</v>
      </c>
      <c r="I610" s="71" t="s">
        <v>983</v>
      </c>
    </row>
    <row r="611" spans="1:9" ht="58" x14ac:dyDescent="0.35">
      <c r="A611" s="195">
        <v>4</v>
      </c>
      <c r="B611" s="195">
        <v>25</v>
      </c>
      <c r="C611" s="195" t="s">
        <v>1014</v>
      </c>
      <c r="D611" s="64">
        <v>1480</v>
      </c>
      <c r="E611" s="195" t="s">
        <v>373</v>
      </c>
      <c r="F611" s="71" t="s">
        <v>367</v>
      </c>
      <c r="G611" s="71" t="s">
        <v>1013</v>
      </c>
      <c r="H611" s="71" t="s">
        <v>988</v>
      </c>
      <c r="I611" s="71" t="s">
        <v>990</v>
      </c>
    </row>
    <row r="612" spans="1:9" ht="58" x14ac:dyDescent="0.35">
      <c r="A612" s="195">
        <v>4</v>
      </c>
      <c r="B612" s="195">
        <v>26</v>
      </c>
      <c r="C612" s="195" t="s">
        <v>1015</v>
      </c>
      <c r="D612" s="195">
        <v>75</v>
      </c>
      <c r="E612" s="195" t="s">
        <v>373</v>
      </c>
      <c r="F612" s="71" t="s">
        <v>367</v>
      </c>
      <c r="G612" s="71" t="s">
        <v>1013</v>
      </c>
      <c r="H612" s="71" t="s">
        <v>988</v>
      </c>
      <c r="I612" s="71" t="s">
        <v>992</v>
      </c>
    </row>
    <row r="613" spans="1:9" ht="58" x14ac:dyDescent="0.35">
      <c r="A613" s="195">
        <v>4</v>
      </c>
      <c r="B613" s="195">
        <v>27</v>
      </c>
      <c r="C613" s="195" t="s">
        <v>1016</v>
      </c>
      <c r="D613" s="64">
        <v>1285</v>
      </c>
      <c r="E613" s="195" t="s">
        <v>366</v>
      </c>
      <c r="F613" s="71" t="s">
        <v>367</v>
      </c>
      <c r="G613" s="71" t="s">
        <v>1013</v>
      </c>
      <c r="H613" s="71" t="s">
        <v>994</v>
      </c>
      <c r="I613" s="71" t="s">
        <v>983</v>
      </c>
    </row>
    <row r="614" spans="1:9" ht="58" x14ac:dyDescent="0.35">
      <c r="A614" s="195">
        <v>4</v>
      </c>
      <c r="B614" s="195">
        <v>28</v>
      </c>
      <c r="C614" s="195" t="s">
        <v>1017</v>
      </c>
      <c r="D614" s="64">
        <v>1185</v>
      </c>
      <c r="E614" s="195" t="s">
        <v>373</v>
      </c>
      <c r="F614" s="71" t="s">
        <v>367</v>
      </c>
      <c r="G614" s="71" t="s">
        <v>1013</v>
      </c>
      <c r="H614" s="71" t="s">
        <v>994</v>
      </c>
      <c r="I614" s="71" t="s">
        <v>990</v>
      </c>
    </row>
    <row r="615" spans="1:9" ht="58" x14ac:dyDescent="0.35">
      <c r="A615" s="195">
        <v>4</v>
      </c>
      <c r="B615" s="195">
        <v>29</v>
      </c>
      <c r="C615" s="195" t="s">
        <v>1018</v>
      </c>
      <c r="D615" s="195">
        <v>95</v>
      </c>
      <c r="E615" s="195" t="s">
        <v>373</v>
      </c>
      <c r="F615" s="71" t="s">
        <v>367</v>
      </c>
      <c r="G615" s="71" t="s">
        <v>1013</v>
      </c>
      <c r="H615" s="71" t="s">
        <v>994</v>
      </c>
      <c r="I615" s="71" t="s">
        <v>992</v>
      </c>
    </row>
    <row r="616" spans="1:9" ht="58" x14ac:dyDescent="0.35">
      <c r="A616" s="195">
        <v>4</v>
      </c>
      <c r="B616" s="195">
        <v>30</v>
      </c>
      <c r="C616" s="195" t="s">
        <v>1019</v>
      </c>
      <c r="D616" s="64">
        <v>7220</v>
      </c>
      <c r="E616" s="195" t="s">
        <v>366</v>
      </c>
      <c r="F616" s="71" t="s">
        <v>367</v>
      </c>
      <c r="G616" s="71" t="s">
        <v>1013</v>
      </c>
      <c r="H616" s="71" t="s">
        <v>998</v>
      </c>
      <c r="I616" s="71" t="s">
        <v>983</v>
      </c>
    </row>
    <row r="617" spans="1:9" ht="58" x14ac:dyDescent="0.35">
      <c r="A617" s="195">
        <v>4</v>
      </c>
      <c r="B617" s="195">
        <v>31</v>
      </c>
      <c r="C617" s="195" t="s">
        <v>1020</v>
      </c>
      <c r="D617" s="64">
        <v>7220</v>
      </c>
      <c r="E617" s="195" t="s">
        <v>373</v>
      </c>
      <c r="F617" s="71" t="s">
        <v>367</v>
      </c>
      <c r="G617" s="71" t="s">
        <v>1013</v>
      </c>
      <c r="H617" s="71" t="s">
        <v>998</v>
      </c>
      <c r="I617" s="71" t="s">
        <v>990</v>
      </c>
    </row>
    <row r="618" spans="1:9" ht="58" x14ac:dyDescent="0.35">
      <c r="A618" s="195">
        <v>4</v>
      </c>
      <c r="B618" s="195">
        <v>32</v>
      </c>
      <c r="C618" s="195" t="s">
        <v>1021</v>
      </c>
      <c r="D618" s="195">
        <v>0</v>
      </c>
      <c r="E618" s="195" t="s">
        <v>373</v>
      </c>
      <c r="F618" s="71" t="s">
        <v>367</v>
      </c>
      <c r="G618" s="71" t="s">
        <v>1013</v>
      </c>
      <c r="H618" s="71" t="s">
        <v>998</v>
      </c>
      <c r="I618" s="71" t="s">
        <v>992</v>
      </c>
    </row>
    <row r="619" spans="1:9" x14ac:dyDescent="0.35">
      <c r="A619" s="195">
        <v>4</v>
      </c>
      <c r="B619" s="195">
        <v>33</v>
      </c>
      <c r="C619" s="195" t="s">
        <v>1022</v>
      </c>
      <c r="D619" s="64">
        <v>846440</v>
      </c>
      <c r="E619" s="195" t="s">
        <v>366</v>
      </c>
      <c r="F619" s="71" t="s">
        <v>508</v>
      </c>
      <c r="G619" s="71" t="s">
        <v>362</v>
      </c>
      <c r="H619" s="71" t="s">
        <v>982</v>
      </c>
      <c r="I619" s="71" t="s">
        <v>983</v>
      </c>
    </row>
    <row r="620" spans="1:9" ht="29" x14ac:dyDescent="0.35">
      <c r="A620" s="195">
        <v>4</v>
      </c>
      <c r="B620" s="195">
        <v>34</v>
      </c>
      <c r="C620" s="195" t="s">
        <v>1023</v>
      </c>
      <c r="D620" s="64">
        <v>419265</v>
      </c>
      <c r="E620" s="195" t="s">
        <v>366</v>
      </c>
      <c r="F620" s="71" t="s">
        <v>508</v>
      </c>
      <c r="G620" s="71" t="s">
        <v>986</v>
      </c>
      <c r="H620" s="71" t="s">
        <v>982</v>
      </c>
      <c r="I620" s="71" t="s">
        <v>983</v>
      </c>
    </row>
    <row r="621" spans="1:9" ht="29" x14ac:dyDescent="0.35">
      <c r="A621" s="195">
        <v>4</v>
      </c>
      <c r="B621" s="195">
        <v>35</v>
      </c>
      <c r="C621" s="195" t="s">
        <v>1024</v>
      </c>
      <c r="D621" s="64">
        <v>127710</v>
      </c>
      <c r="E621" s="195" t="s">
        <v>366</v>
      </c>
      <c r="F621" s="71" t="s">
        <v>508</v>
      </c>
      <c r="G621" s="71" t="s">
        <v>986</v>
      </c>
      <c r="H621" s="71" t="s">
        <v>988</v>
      </c>
      <c r="I621" s="71" t="s">
        <v>983</v>
      </c>
    </row>
    <row r="622" spans="1:9" ht="29" x14ac:dyDescent="0.35">
      <c r="A622" s="195">
        <v>4</v>
      </c>
      <c r="B622" s="195">
        <v>36</v>
      </c>
      <c r="C622" s="195" t="s">
        <v>1025</v>
      </c>
      <c r="D622" s="64">
        <v>100715</v>
      </c>
      <c r="E622" s="195" t="s">
        <v>373</v>
      </c>
      <c r="F622" s="71" t="s">
        <v>508</v>
      </c>
      <c r="G622" s="71" t="s">
        <v>986</v>
      </c>
      <c r="H622" s="71" t="s">
        <v>988</v>
      </c>
      <c r="I622" s="71" t="s">
        <v>990</v>
      </c>
    </row>
    <row r="623" spans="1:9" ht="29" x14ac:dyDescent="0.35">
      <c r="A623" s="195">
        <v>4</v>
      </c>
      <c r="B623" s="195">
        <v>37</v>
      </c>
      <c r="C623" s="195" t="s">
        <v>1026</v>
      </c>
      <c r="D623" s="64">
        <v>26995</v>
      </c>
      <c r="E623" s="195" t="s">
        <v>373</v>
      </c>
      <c r="F623" s="71" t="s">
        <v>508</v>
      </c>
      <c r="G623" s="71" t="s">
        <v>986</v>
      </c>
      <c r="H623" s="71" t="s">
        <v>988</v>
      </c>
      <c r="I623" s="71" t="s">
        <v>992</v>
      </c>
    </row>
    <row r="624" spans="1:9" ht="29" x14ac:dyDescent="0.35">
      <c r="A624" s="195">
        <v>4</v>
      </c>
      <c r="B624" s="195">
        <v>38</v>
      </c>
      <c r="C624" s="195" t="s">
        <v>1027</v>
      </c>
      <c r="D624" s="64">
        <v>81440</v>
      </c>
      <c r="E624" s="195" t="s">
        <v>366</v>
      </c>
      <c r="F624" s="71" t="s">
        <v>508</v>
      </c>
      <c r="G624" s="71" t="s">
        <v>986</v>
      </c>
      <c r="H624" s="71" t="s">
        <v>994</v>
      </c>
      <c r="I624" s="71" t="s">
        <v>983</v>
      </c>
    </row>
    <row r="625" spans="1:9" ht="29" x14ac:dyDescent="0.35">
      <c r="A625" s="195">
        <v>4</v>
      </c>
      <c r="B625" s="195">
        <v>39</v>
      </c>
      <c r="C625" s="195" t="s">
        <v>1028</v>
      </c>
      <c r="D625" s="64">
        <v>53135</v>
      </c>
      <c r="E625" s="195" t="s">
        <v>373</v>
      </c>
      <c r="F625" s="71" t="s">
        <v>508</v>
      </c>
      <c r="G625" s="71" t="s">
        <v>986</v>
      </c>
      <c r="H625" s="71" t="s">
        <v>994</v>
      </c>
      <c r="I625" s="71" t="s">
        <v>990</v>
      </c>
    </row>
    <row r="626" spans="1:9" ht="29" x14ac:dyDescent="0.35">
      <c r="A626" s="195">
        <v>4</v>
      </c>
      <c r="B626" s="195">
        <v>40</v>
      </c>
      <c r="C626" s="195" t="s">
        <v>1029</v>
      </c>
      <c r="D626" s="64">
        <v>28305</v>
      </c>
      <c r="E626" s="195" t="s">
        <v>373</v>
      </c>
      <c r="F626" s="71" t="s">
        <v>508</v>
      </c>
      <c r="G626" s="71" t="s">
        <v>986</v>
      </c>
      <c r="H626" s="71" t="s">
        <v>994</v>
      </c>
      <c r="I626" s="71" t="s">
        <v>992</v>
      </c>
    </row>
    <row r="627" spans="1:9" ht="29" x14ac:dyDescent="0.35">
      <c r="A627" s="195">
        <v>4</v>
      </c>
      <c r="B627" s="195">
        <v>41</v>
      </c>
      <c r="C627" s="195" t="s">
        <v>1030</v>
      </c>
      <c r="D627" s="64">
        <v>210115</v>
      </c>
      <c r="E627" s="195" t="s">
        <v>366</v>
      </c>
      <c r="F627" s="71" t="s">
        <v>508</v>
      </c>
      <c r="G627" s="71" t="s">
        <v>986</v>
      </c>
      <c r="H627" s="71" t="s">
        <v>998</v>
      </c>
      <c r="I627" s="71" t="s">
        <v>983</v>
      </c>
    </row>
    <row r="628" spans="1:9" ht="29" x14ac:dyDescent="0.35">
      <c r="A628" s="195">
        <v>4</v>
      </c>
      <c r="B628" s="195">
        <v>42</v>
      </c>
      <c r="C628" s="195" t="s">
        <v>1031</v>
      </c>
      <c r="D628" s="64">
        <v>209305</v>
      </c>
      <c r="E628" s="195" t="s">
        <v>373</v>
      </c>
      <c r="F628" s="71" t="s">
        <v>508</v>
      </c>
      <c r="G628" s="71" t="s">
        <v>986</v>
      </c>
      <c r="H628" s="71" t="s">
        <v>998</v>
      </c>
      <c r="I628" s="71" t="s">
        <v>990</v>
      </c>
    </row>
    <row r="629" spans="1:9" ht="29" x14ac:dyDescent="0.35">
      <c r="A629" s="195">
        <v>4</v>
      </c>
      <c r="B629" s="195">
        <v>43</v>
      </c>
      <c r="C629" s="195" t="s">
        <v>1032</v>
      </c>
      <c r="D629" s="195">
        <v>810</v>
      </c>
      <c r="E629" s="195" t="s">
        <v>373</v>
      </c>
      <c r="F629" s="71" t="s">
        <v>508</v>
      </c>
      <c r="G629" s="71" t="s">
        <v>986</v>
      </c>
      <c r="H629" s="71" t="s">
        <v>998</v>
      </c>
      <c r="I629" s="71" t="s">
        <v>992</v>
      </c>
    </row>
    <row r="630" spans="1:9" ht="29" x14ac:dyDescent="0.35">
      <c r="A630" s="195">
        <v>4</v>
      </c>
      <c r="B630" s="195">
        <v>44</v>
      </c>
      <c r="C630" s="195" t="s">
        <v>1033</v>
      </c>
      <c r="D630" s="64">
        <v>397305</v>
      </c>
      <c r="E630" s="195" t="s">
        <v>366</v>
      </c>
      <c r="F630" s="71" t="s">
        <v>508</v>
      </c>
      <c r="G630" s="71" t="s">
        <v>424</v>
      </c>
      <c r="H630" s="71" t="s">
        <v>982</v>
      </c>
      <c r="I630" s="71" t="s">
        <v>983</v>
      </c>
    </row>
    <row r="631" spans="1:9" ht="29" x14ac:dyDescent="0.35">
      <c r="A631" s="195">
        <v>4</v>
      </c>
      <c r="B631" s="195">
        <v>45</v>
      </c>
      <c r="C631" s="195" t="s">
        <v>1034</v>
      </c>
      <c r="D631" s="64">
        <v>79000</v>
      </c>
      <c r="E631" s="195" t="s">
        <v>366</v>
      </c>
      <c r="F631" s="71" t="s">
        <v>508</v>
      </c>
      <c r="G631" s="71" t="s">
        <v>424</v>
      </c>
      <c r="H631" s="71" t="s">
        <v>988</v>
      </c>
      <c r="I631" s="71" t="s">
        <v>983</v>
      </c>
    </row>
    <row r="632" spans="1:9" ht="29" x14ac:dyDescent="0.35">
      <c r="A632" s="195">
        <v>4</v>
      </c>
      <c r="B632" s="195">
        <v>46</v>
      </c>
      <c r="C632" s="195" t="s">
        <v>1035</v>
      </c>
      <c r="D632" s="64">
        <v>70935</v>
      </c>
      <c r="E632" s="195" t="s">
        <v>373</v>
      </c>
      <c r="F632" s="71" t="s">
        <v>508</v>
      </c>
      <c r="G632" s="71" t="s">
        <v>424</v>
      </c>
      <c r="H632" s="71" t="s">
        <v>988</v>
      </c>
      <c r="I632" s="71" t="s">
        <v>990</v>
      </c>
    </row>
    <row r="633" spans="1:9" ht="29" x14ac:dyDescent="0.35">
      <c r="A633" s="195">
        <v>4</v>
      </c>
      <c r="B633" s="195">
        <v>47</v>
      </c>
      <c r="C633" s="195" t="s">
        <v>1036</v>
      </c>
      <c r="D633" s="64">
        <v>8065</v>
      </c>
      <c r="E633" s="195" t="s">
        <v>373</v>
      </c>
      <c r="F633" s="71" t="s">
        <v>508</v>
      </c>
      <c r="G633" s="71" t="s">
        <v>424</v>
      </c>
      <c r="H633" s="71" t="s">
        <v>988</v>
      </c>
      <c r="I633" s="71" t="s">
        <v>992</v>
      </c>
    </row>
    <row r="634" spans="1:9" ht="29" x14ac:dyDescent="0.35">
      <c r="A634" s="195">
        <v>4</v>
      </c>
      <c r="B634" s="195">
        <v>48</v>
      </c>
      <c r="C634" s="195" t="s">
        <v>1037</v>
      </c>
      <c r="D634" s="64">
        <v>111435</v>
      </c>
      <c r="E634" s="195" t="s">
        <v>366</v>
      </c>
      <c r="F634" s="71" t="s">
        <v>508</v>
      </c>
      <c r="G634" s="71" t="s">
        <v>424</v>
      </c>
      <c r="H634" s="71" t="s">
        <v>994</v>
      </c>
      <c r="I634" s="71" t="s">
        <v>983</v>
      </c>
    </row>
    <row r="635" spans="1:9" ht="29" x14ac:dyDescent="0.35">
      <c r="A635" s="195">
        <v>4</v>
      </c>
      <c r="B635" s="195">
        <v>49</v>
      </c>
      <c r="C635" s="195" t="s">
        <v>1038</v>
      </c>
      <c r="D635" s="64">
        <v>98000</v>
      </c>
      <c r="E635" s="195" t="s">
        <v>373</v>
      </c>
      <c r="F635" s="71" t="s">
        <v>508</v>
      </c>
      <c r="G635" s="71" t="s">
        <v>424</v>
      </c>
      <c r="H635" s="71" t="s">
        <v>994</v>
      </c>
      <c r="I635" s="71" t="s">
        <v>990</v>
      </c>
    </row>
    <row r="636" spans="1:9" ht="29" x14ac:dyDescent="0.35">
      <c r="A636" s="195">
        <v>4</v>
      </c>
      <c r="B636" s="195">
        <v>50</v>
      </c>
      <c r="C636" s="195" t="s">
        <v>1039</v>
      </c>
      <c r="D636" s="64">
        <v>13430</v>
      </c>
      <c r="E636" s="195" t="s">
        <v>373</v>
      </c>
      <c r="F636" s="71" t="s">
        <v>508</v>
      </c>
      <c r="G636" s="71" t="s">
        <v>424</v>
      </c>
      <c r="H636" s="71" t="s">
        <v>994</v>
      </c>
      <c r="I636" s="71" t="s">
        <v>992</v>
      </c>
    </row>
    <row r="637" spans="1:9" ht="29" x14ac:dyDescent="0.35">
      <c r="A637" s="195">
        <v>4</v>
      </c>
      <c r="B637" s="195">
        <v>51</v>
      </c>
      <c r="C637" s="195" t="s">
        <v>1040</v>
      </c>
      <c r="D637" s="64">
        <v>206870</v>
      </c>
      <c r="E637" s="195" t="s">
        <v>366</v>
      </c>
      <c r="F637" s="71" t="s">
        <v>508</v>
      </c>
      <c r="G637" s="71" t="s">
        <v>424</v>
      </c>
      <c r="H637" s="71" t="s">
        <v>998</v>
      </c>
      <c r="I637" s="71" t="s">
        <v>983</v>
      </c>
    </row>
    <row r="638" spans="1:9" ht="29" x14ac:dyDescent="0.35">
      <c r="A638" s="195">
        <v>4</v>
      </c>
      <c r="B638" s="195">
        <v>52</v>
      </c>
      <c r="C638" s="195" t="s">
        <v>1041</v>
      </c>
      <c r="D638" s="64">
        <v>206450</v>
      </c>
      <c r="E638" s="195" t="s">
        <v>373</v>
      </c>
      <c r="F638" s="71" t="s">
        <v>508</v>
      </c>
      <c r="G638" s="71" t="s">
        <v>424</v>
      </c>
      <c r="H638" s="71" t="s">
        <v>998</v>
      </c>
      <c r="I638" s="71" t="s">
        <v>990</v>
      </c>
    </row>
    <row r="639" spans="1:9" ht="29" x14ac:dyDescent="0.35">
      <c r="A639" s="195">
        <v>4</v>
      </c>
      <c r="B639" s="195">
        <v>53</v>
      </c>
      <c r="C639" s="195" t="s">
        <v>1042</v>
      </c>
      <c r="D639" s="195">
        <v>420</v>
      </c>
      <c r="E639" s="195" t="s">
        <v>373</v>
      </c>
      <c r="F639" s="71" t="s">
        <v>508</v>
      </c>
      <c r="G639" s="71" t="s">
        <v>424</v>
      </c>
      <c r="H639" s="71" t="s">
        <v>998</v>
      </c>
      <c r="I639" s="71" t="s">
        <v>992</v>
      </c>
    </row>
    <row r="640" spans="1:9" ht="43.5" x14ac:dyDescent="0.35">
      <c r="A640" s="195">
        <v>4</v>
      </c>
      <c r="B640" s="195">
        <v>54</v>
      </c>
      <c r="C640" s="195" t="s">
        <v>1043</v>
      </c>
      <c r="D640" s="64">
        <v>29870</v>
      </c>
      <c r="E640" s="195" t="s">
        <v>366</v>
      </c>
      <c r="F640" s="71" t="s">
        <v>508</v>
      </c>
      <c r="G640" s="71" t="s">
        <v>466</v>
      </c>
      <c r="H640" s="71" t="s">
        <v>982</v>
      </c>
      <c r="I640" s="71" t="s">
        <v>983</v>
      </c>
    </row>
    <row r="641" spans="1:9" ht="58" x14ac:dyDescent="0.35">
      <c r="A641" s="195">
        <v>4</v>
      </c>
      <c r="B641" s="195">
        <v>55</v>
      </c>
      <c r="C641" s="195" t="s">
        <v>1044</v>
      </c>
      <c r="D641" s="64">
        <v>7800</v>
      </c>
      <c r="E641" s="195" t="s">
        <v>366</v>
      </c>
      <c r="F641" s="71" t="s">
        <v>508</v>
      </c>
      <c r="G641" s="71" t="s">
        <v>1013</v>
      </c>
      <c r="H641" s="71" t="s">
        <v>988</v>
      </c>
      <c r="I641" s="71" t="s">
        <v>983</v>
      </c>
    </row>
    <row r="642" spans="1:9" ht="58" x14ac:dyDescent="0.35">
      <c r="A642" s="195">
        <v>4</v>
      </c>
      <c r="B642" s="195">
        <v>56</v>
      </c>
      <c r="C642" s="195" t="s">
        <v>1045</v>
      </c>
      <c r="D642" s="64">
        <v>7145</v>
      </c>
      <c r="E642" s="195" t="s">
        <v>373</v>
      </c>
      <c r="F642" s="71" t="s">
        <v>508</v>
      </c>
      <c r="G642" s="71" t="s">
        <v>1013</v>
      </c>
      <c r="H642" s="71" t="s">
        <v>988</v>
      </c>
      <c r="I642" s="71" t="s">
        <v>990</v>
      </c>
    </row>
    <row r="643" spans="1:9" ht="58" x14ac:dyDescent="0.35">
      <c r="A643" s="195">
        <v>4</v>
      </c>
      <c r="B643" s="195">
        <v>57</v>
      </c>
      <c r="C643" s="195" t="s">
        <v>1046</v>
      </c>
      <c r="D643" s="195">
        <v>655</v>
      </c>
      <c r="E643" s="195" t="s">
        <v>373</v>
      </c>
      <c r="F643" s="71" t="s">
        <v>508</v>
      </c>
      <c r="G643" s="71" t="s">
        <v>1013</v>
      </c>
      <c r="H643" s="71" t="s">
        <v>988</v>
      </c>
      <c r="I643" s="71" t="s">
        <v>992</v>
      </c>
    </row>
    <row r="644" spans="1:9" ht="58" x14ac:dyDescent="0.35">
      <c r="A644" s="195">
        <v>4</v>
      </c>
      <c r="B644" s="195">
        <v>58</v>
      </c>
      <c r="C644" s="195" t="s">
        <v>1047</v>
      </c>
      <c r="D644" s="64">
        <v>1630</v>
      </c>
      <c r="E644" s="195" t="s">
        <v>366</v>
      </c>
      <c r="F644" s="71" t="s">
        <v>508</v>
      </c>
      <c r="G644" s="71" t="s">
        <v>1013</v>
      </c>
      <c r="H644" s="71" t="s">
        <v>994</v>
      </c>
      <c r="I644" s="71" t="s">
        <v>983</v>
      </c>
    </row>
    <row r="645" spans="1:9" ht="58" x14ac:dyDescent="0.35">
      <c r="A645" s="195">
        <v>4</v>
      </c>
      <c r="B645" s="195">
        <v>59</v>
      </c>
      <c r="C645" s="195" t="s">
        <v>1048</v>
      </c>
      <c r="D645" s="64">
        <v>1525</v>
      </c>
      <c r="E645" s="195" t="s">
        <v>373</v>
      </c>
      <c r="F645" s="71" t="s">
        <v>508</v>
      </c>
      <c r="G645" s="71" t="s">
        <v>1013</v>
      </c>
      <c r="H645" s="71" t="s">
        <v>994</v>
      </c>
      <c r="I645" s="71" t="s">
        <v>990</v>
      </c>
    </row>
    <row r="646" spans="1:9" ht="58" x14ac:dyDescent="0.35">
      <c r="A646" s="195">
        <v>4</v>
      </c>
      <c r="B646" s="195">
        <v>60</v>
      </c>
      <c r="C646" s="195" t="s">
        <v>1049</v>
      </c>
      <c r="D646" s="195">
        <v>105</v>
      </c>
      <c r="E646" s="195" t="s">
        <v>373</v>
      </c>
      <c r="F646" s="71" t="s">
        <v>508</v>
      </c>
      <c r="G646" s="71" t="s">
        <v>1013</v>
      </c>
      <c r="H646" s="71" t="s">
        <v>994</v>
      </c>
      <c r="I646" s="71" t="s">
        <v>992</v>
      </c>
    </row>
    <row r="647" spans="1:9" ht="58" x14ac:dyDescent="0.35">
      <c r="A647" s="195">
        <v>4</v>
      </c>
      <c r="B647" s="195">
        <v>61</v>
      </c>
      <c r="C647" s="195" t="s">
        <v>1050</v>
      </c>
      <c r="D647" s="64">
        <v>20440</v>
      </c>
      <c r="E647" s="195" t="s">
        <v>366</v>
      </c>
      <c r="F647" s="71" t="s">
        <v>508</v>
      </c>
      <c r="G647" s="71" t="s">
        <v>1013</v>
      </c>
      <c r="H647" s="71" t="s">
        <v>998</v>
      </c>
      <c r="I647" s="71" t="s">
        <v>983</v>
      </c>
    </row>
    <row r="648" spans="1:9" ht="58" x14ac:dyDescent="0.35">
      <c r="A648" s="195">
        <v>4</v>
      </c>
      <c r="B648" s="195">
        <v>62</v>
      </c>
      <c r="C648" s="195" t="s">
        <v>1051</v>
      </c>
      <c r="D648" s="64">
        <v>20400</v>
      </c>
      <c r="E648" s="195" t="s">
        <v>373</v>
      </c>
      <c r="F648" s="71" t="s">
        <v>508</v>
      </c>
      <c r="G648" s="71" t="s">
        <v>1013</v>
      </c>
      <c r="H648" s="71" t="s">
        <v>998</v>
      </c>
      <c r="I648" s="71" t="s">
        <v>990</v>
      </c>
    </row>
    <row r="649" spans="1:9" ht="58" x14ac:dyDescent="0.35">
      <c r="A649" s="195">
        <v>4</v>
      </c>
      <c r="B649" s="195">
        <v>63</v>
      </c>
      <c r="C649" s="195" t="s">
        <v>1052</v>
      </c>
      <c r="D649" s="195">
        <v>40</v>
      </c>
      <c r="E649" s="195" t="s">
        <v>373</v>
      </c>
      <c r="F649" s="71" t="s">
        <v>508</v>
      </c>
      <c r="G649" s="71" t="s">
        <v>1013</v>
      </c>
      <c r="H649" s="71" t="s">
        <v>998</v>
      </c>
      <c r="I649" s="71" t="s">
        <v>992</v>
      </c>
    </row>
    <row r="650" spans="1:9" ht="29" x14ac:dyDescent="0.35">
      <c r="A650" s="195">
        <v>5</v>
      </c>
      <c r="B650" s="195">
        <v>1</v>
      </c>
      <c r="C650" s="195" t="s">
        <v>1053</v>
      </c>
      <c r="D650" s="64">
        <v>1951605</v>
      </c>
      <c r="E650" s="195" t="s">
        <v>26</v>
      </c>
      <c r="F650" s="71" t="s">
        <v>361</v>
      </c>
      <c r="G650" s="71" t="s">
        <v>362</v>
      </c>
      <c r="H650" s="71" t="s">
        <v>363</v>
      </c>
      <c r="I650" s="71" t="s">
        <v>1054</v>
      </c>
    </row>
    <row r="651" spans="1:9" x14ac:dyDescent="0.35">
      <c r="A651" s="195">
        <v>5</v>
      </c>
      <c r="B651" s="195">
        <v>2</v>
      </c>
      <c r="C651" s="195" t="s">
        <v>1055</v>
      </c>
      <c r="D651" s="64">
        <v>1105170</v>
      </c>
      <c r="E651" s="195" t="s">
        <v>366</v>
      </c>
      <c r="F651" s="71" t="s">
        <v>367</v>
      </c>
      <c r="G651" s="71" t="s">
        <v>362</v>
      </c>
      <c r="H651" s="71" t="s">
        <v>363</v>
      </c>
      <c r="I651" s="71" t="s">
        <v>1054</v>
      </c>
    </row>
    <row r="652" spans="1:9" ht="43.5" x14ac:dyDescent="0.35">
      <c r="A652" s="195">
        <v>5</v>
      </c>
      <c r="B652" s="195">
        <v>3</v>
      </c>
      <c r="C652" s="195" t="s">
        <v>1056</v>
      </c>
      <c r="D652" s="64">
        <v>362505</v>
      </c>
      <c r="E652" s="195" t="s">
        <v>366</v>
      </c>
      <c r="F652" s="71" t="s">
        <v>367</v>
      </c>
      <c r="G652" s="71" t="s">
        <v>1057</v>
      </c>
      <c r="H652" s="71" t="s">
        <v>363</v>
      </c>
      <c r="I652" s="71" t="s">
        <v>1054</v>
      </c>
    </row>
    <row r="653" spans="1:9" ht="43.5" x14ac:dyDescent="0.35">
      <c r="A653" s="195">
        <v>5</v>
      </c>
      <c r="B653" s="195">
        <v>4</v>
      </c>
      <c r="C653" s="195" t="s">
        <v>1058</v>
      </c>
      <c r="D653" s="64">
        <v>84950</v>
      </c>
      <c r="E653" s="195" t="s">
        <v>366</v>
      </c>
      <c r="F653" s="71" t="s">
        <v>367</v>
      </c>
      <c r="G653" s="71" t="s">
        <v>1057</v>
      </c>
      <c r="H653" s="71" t="s">
        <v>371</v>
      </c>
      <c r="I653" s="71" t="s">
        <v>1054</v>
      </c>
    </row>
    <row r="654" spans="1:9" ht="43.5" x14ac:dyDescent="0.35">
      <c r="A654" s="195">
        <v>5</v>
      </c>
      <c r="B654" s="195">
        <v>5</v>
      </c>
      <c r="C654" s="195" t="s">
        <v>1059</v>
      </c>
      <c r="D654" s="64">
        <v>25555</v>
      </c>
      <c r="E654" s="195" t="s">
        <v>373</v>
      </c>
      <c r="F654" s="71" t="s">
        <v>367</v>
      </c>
      <c r="G654" s="71" t="s">
        <v>1057</v>
      </c>
      <c r="H654" s="71" t="s">
        <v>371</v>
      </c>
      <c r="I654" s="71" t="s">
        <v>1060</v>
      </c>
    </row>
    <row r="655" spans="1:9" ht="43.5" x14ac:dyDescent="0.35">
      <c r="A655" s="195">
        <v>5</v>
      </c>
      <c r="B655" s="195">
        <v>6</v>
      </c>
      <c r="C655" s="195" t="s">
        <v>1061</v>
      </c>
      <c r="D655" s="64">
        <v>21825</v>
      </c>
      <c r="E655" s="195" t="s">
        <v>373</v>
      </c>
      <c r="F655" s="71" t="s">
        <v>367</v>
      </c>
      <c r="G655" s="71" t="s">
        <v>1057</v>
      </c>
      <c r="H655" s="71" t="s">
        <v>371</v>
      </c>
      <c r="I655" s="71" t="s">
        <v>1062</v>
      </c>
    </row>
    <row r="656" spans="1:9" ht="43.5" x14ac:dyDescent="0.35">
      <c r="A656" s="195">
        <v>5</v>
      </c>
      <c r="B656" s="195">
        <v>7</v>
      </c>
      <c r="C656" s="195" t="s">
        <v>1063</v>
      </c>
      <c r="D656" s="64">
        <v>37570</v>
      </c>
      <c r="E656" s="195" t="s">
        <v>373</v>
      </c>
      <c r="F656" s="71" t="s">
        <v>367</v>
      </c>
      <c r="G656" s="71" t="s">
        <v>1057</v>
      </c>
      <c r="H656" s="71" t="s">
        <v>371</v>
      </c>
      <c r="I656" s="71" t="s">
        <v>1064</v>
      </c>
    </row>
    <row r="657" spans="1:9" ht="43.5" x14ac:dyDescent="0.35">
      <c r="A657" s="195">
        <v>5</v>
      </c>
      <c r="B657" s="195">
        <v>8</v>
      </c>
      <c r="C657" s="195" t="s">
        <v>1065</v>
      </c>
      <c r="D657" s="64">
        <v>82445</v>
      </c>
      <c r="E657" s="195" t="s">
        <v>366</v>
      </c>
      <c r="F657" s="71" t="s">
        <v>367</v>
      </c>
      <c r="G657" s="71" t="s">
        <v>1057</v>
      </c>
      <c r="H657" s="71" t="s">
        <v>388</v>
      </c>
      <c r="I657" s="71" t="s">
        <v>1054</v>
      </c>
    </row>
    <row r="658" spans="1:9" ht="43.5" x14ac:dyDescent="0.35">
      <c r="A658" s="195">
        <v>5</v>
      </c>
      <c r="B658" s="195">
        <v>9</v>
      </c>
      <c r="C658" s="195" t="s">
        <v>1066</v>
      </c>
      <c r="D658" s="64">
        <v>24825</v>
      </c>
      <c r="E658" s="195" t="s">
        <v>373</v>
      </c>
      <c r="F658" s="71" t="s">
        <v>367</v>
      </c>
      <c r="G658" s="71" t="s">
        <v>1057</v>
      </c>
      <c r="H658" s="71" t="s">
        <v>388</v>
      </c>
      <c r="I658" s="71" t="s">
        <v>1060</v>
      </c>
    </row>
    <row r="659" spans="1:9" ht="43.5" x14ac:dyDescent="0.35">
      <c r="A659" s="195">
        <v>5</v>
      </c>
      <c r="B659" s="195">
        <v>10</v>
      </c>
      <c r="C659" s="195" t="s">
        <v>1067</v>
      </c>
      <c r="D659" s="64">
        <v>19080</v>
      </c>
      <c r="E659" s="195" t="s">
        <v>373</v>
      </c>
      <c r="F659" s="71" t="s">
        <v>367</v>
      </c>
      <c r="G659" s="71" t="s">
        <v>1057</v>
      </c>
      <c r="H659" s="71" t="s">
        <v>388</v>
      </c>
      <c r="I659" s="71" t="s">
        <v>1062</v>
      </c>
    </row>
    <row r="660" spans="1:9" ht="43.5" x14ac:dyDescent="0.35">
      <c r="A660" s="195">
        <v>5</v>
      </c>
      <c r="B660" s="195">
        <v>11</v>
      </c>
      <c r="C660" s="195" t="s">
        <v>1068</v>
      </c>
      <c r="D660" s="64">
        <v>38540</v>
      </c>
      <c r="E660" s="195" t="s">
        <v>373</v>
      </c>
      <c r="F660" s="71" t="s">
        <v>367</v>
      </c>
      <c r="G660" s="71" t="s">
        <v>1057</v>
      </c>
      <c r="H660" s="71" t="s">
        <v>388</v>
      </c>
      <c r="I660" s="71" t="s">
        <v>1064</v>
      </c>
    </row>
    <row r="661" spans="1:9" ht="43.5" x14ac:dyDescent="0.35">
      <c r="A661" s="195">
        <v>5</v>
      </c>
      <c r="B661" s="195">
        <v>12</v>
      </c>
      <c r="C661" s="195" t="s">
        <v>1069</v>
      </c>
      <c r="D661" s="64">
        <v>88900</v>
      </c>
      <c r="E661" s="195" t="s">
        <v>366</v>
      </c>
      <c r="F661" s="71" t="s">
        <v>367</v>
      </c>
      <c r="G661" s="71" t="s">
        <v>1057</v>
      </c>
      <c r="H661" s="71" t="s">
        <v>397</v>
      </c>
      <c r="I661" s="71" t="s">
        <v>1054</v>
      </c>
    </row>
    <row r="662" spans="1:9" ht="43.5" x14ac:dyDescent="0.35">
      <c r="A662" s="195">
        <v>5</v>
      </c>
      <c r="B662" s="195">
        <v>13</v>
      </c>
      <c r="C662" s="195" t="s">
        <v>1070</v>
      </c>
      <c r="D662" s="64">
        <v>23015</v>
      </c>
      <c r="E662" s="195" t="s">
        <v>373</v>
      </c>
      <c r="F662" s="71" t="s">
        <v>367</v>
      </c>
      <c r="G662" s="71" t="s">
        <v>1057</v>
      </c>
      <c r="H662" s="71" t="s">
        <v>397</v>
      </c>
      <c r="I662" s="71" t="s">
        <v>1060</v>
      </c>
    </row>
    <row r="663" spans="1:9" ht="43.5" x14ac:dyDescent="0.35">
      <c r="A663" s="195">
        <v>5</v>
      </c>
      <c r="B663" s="195">
        <v>14</v>
      </c>
      <c r="C663" s="195" t="s">
        <v>1071</v>
      </c>
      <c r="D663" s="64">
        <v>9565</v>
      </c>
      <c r="E663" s="195" t="s">
        <v>373</v>
      </c>
      <c r="F663" s="71" t="s">
        <v>367</v>
      </c>
      <c r="G663" s="71" t="s">
        <v>1057</v>
      </c>
      <c r="H663" s="71" t="s">
        <v>397</v>
      </c>
      <c r="I663" s="71" t="s">
        <v>1062</v>
      </c>
    </row>
    <row r="664" spans="1:9" ht="43.5" x14ac:dyDescent="0.35">
      <c r="A664" s="195">
        <v>5</v>
      </c>
      <c r="B664" s="195">
        <v>15</v>
      </c>
      <c r="C664" s="195" t="s">
        <v>1072</v>
      </c>
      <c r="D664" s="64">
        <v>56320</v>
      </c>
      <c r="E664" s="195" t="s">
        <v>373</v>
      </c>
      <c r="F664" s="71" t="s">
        <v>367</v>
      </c>
      <c r="G664" s="71" t="s">
        <v>1057</v>
      </c>
      <c r="H664" s="71" t="s">
        <v>397</v>
      </c>
      <c r="I664" s="71" t="s">
        <v>1064</v>
      </c>
    </row>
    <row r="665" spans="1:9" ht="43.5" x14ac:dyDescent="0.35">
      <c r="A665" s="195">
        <v>5</v>
      </c>
      <c r="B665" s="195">
        <v>16</v>
      </c>
      <c r="C665" s="195" t="s">
        <v>1073</v>
      </c>
      <c r="D665" s="64">
        <v>39525</v>
      </c>
      <c r="E665" s="195" t="s">
        <v>366</v>
      </c>
      <c r="F665" s="71" t="s">
        <v>367</v>
      </c>
      <c r="G665" s="71" t="s">
        <v>1057</v>
      </c>
      <c r="H665" s="71" t="s">
        <v>406</v>
      </c>
      <c r="I665" s="71" t="s">
        <v>1054</v>
      </c>
    </row>
    <row r="666" spans="1:9" ht="43.5" x14ac:dyDescent="0.35">
      <c r="A666" s="195">
        <v>5</v>
      </c>
      <c r="B666" s="195">
        <v>17</v>
      </c>
      <c r="C666" s="195" t="s">
        <v>1074</v>
      </c>
      <c r="D666" s="64">
        <v>9580</v>
      </c>
      <c r="E666" s="195" t="s">
        <v>373</v>
      </c>
      <c r="F666" s="71" t="s">
        <v>367</v>
      </c>
      <c r="G666" s="71" t="s">
        <v>1057</v>
      </c>
      <c r="H666" s="71" t="s">
        <v>406</v>
      </c>
      <c r="I666" s="71" t="s">
        <v>1060</v>
      </c>
    </row>
    <row r="667" spans="1:9" ht="43.5" x14ac:dyDescent="0.35">
      <c r="A667" s="195">
        <v>5</v>
      </c>
      <c r="B667" s="195">
        <v>18</v>
      </c>
      <c r="C667" s="195" t="s">
        <v>1075</v>
      </c>
      <c r="D667" s="64">
        <v>2740</v>
      </c>
      <c r="E667" s="195" t="s">
        <v>373</v>
      </c>
      <c r="F667" s="71" t="s">
        <v>367</v>
      </c>
      <c r="G667" s="71" t="s">
        <v>1057</v>
      </c>
      <c r="H667" s="71" t="s">
        <v>406</v>
      </c>
      <c r="I667" s="71" t="s">
        <v>1062</v>
      </c>
    </row>
    <row r="668" spans="1:9" ht="43.5" x14ac:dyDescent="0.35">
      <c r="A668" s="195">
        <v>5</v>
      </c>
      <c r="B668" s="195">
        <v>19</v>
      </c>
      <c r="C668" s="195" t="s">
        <v>1076</v>
      </c>
      <c r="D668" s="64">
        <v>27205</v>
      </c>
      <c r="E668" s="195" t="s">
        <v>373</v>
      </c>
      <c r="F668" s="71" t="s">
        <v>367</v>
      </c>
      <c r="G668" s="71" t="s">
        <v>1057</v>
      </c>
      <c r="H668" s="71" t="s">
        <v>406</v>
      </c>
      <c r="I668" s="71" t="s">
        <v>1064</v>
      </c>
    </row>
    <row r="669" spans="1:9" ht="43.5" x14ac:dyDescent="0.35">
      <c r="A669" s="195">
        <v>5</v>
      </c>
      <c r="B669" s="195">
        <v>20</v>
      </c>
      <c r="C669" s="195" t="s">
        <v>1077</v>
      </c>
      <c r="D669" s="64">
        <v>66690</v>
      </c>
      <c r="E669" s="195" t="s">
        <v>366</v>
      </c>
      <c r="F669" s="71" t="s">
        <v>367</v>
      </c>
      <c r="G669" s="71" t="s">
        <v>1057</v>
      </c>
      <c r="H669" s="71" t="s">
        <v>415</v>
      </c>
      <c r="I669" s="71" t="s">
        <v>1054</v>
      </c>
    </row>
    <row r="670" spans="1:9" ht="43.5" x14ac:dyDescent="0.35">
      <c r="A670" s="195">
        <v>5</v>
      </c>
      <c r="B670" s="195">
        <v>21</v>
      </c>
      <c r="C670" s="195" t="s">
        <v>1078</v>
      </c>
      <c r="D670" s="64">
        <v>14580</v>
      </c>
      <c r="E670" s="195" t="s">
        <v>373</v>
      </c>
      <c r="F670" s="71" t="s">
        <v>367</v>
      </c>
      <c r="G670" s="71" t="s">
        <v>1057</v>
      </c>
      <c r="H670" s="71" t="s">
        <v>415</v>
      </c>
      <c r="I670" s="71" t="s">
        <v>1060</v>
      </c>
    </row>
    <row r="671" spans="1:9" ht="43.5" x14ac:dyDescent="0.35">
      <c r="A671" s="195">
        <v>5</v>
      </c>
      <c r="B671" s="195">
        <v>22</v>
      </c>
      <c r="C671" s="195" t="s">
        <v>1079</v>
      </c>
      <c r="D671" s="64">
        <v>3645</v>
      </c>
      <c r="E671" s="195" t="s">
        <v>373</v>
      </c>
      <c r="F671" s="71" t="s">
        <v>367</v>
      </c>
      <c r="G671" s="71" t="s">
        <v>1057</v>
      </c>
      <c r="H671" s="71" t="s">
        <v>415</v>
      </c>
      <c r="I671" s="71" t="s">
        <v>1062</v>
      </c>
    </row>
    <row r="672" spans="1:9" ht="43.5" x14ac:dyDescent="0.35">
      <c r="A672" s="195">
        <v>5</v>
      </c>
      <c r="B672" s="195">
        <v>23</v>
      </c>
      <c r="C672" s="195" t="s">
        <v>1080</v>
      </c>
      <c r="D672" s="64">
        <v>48465</v>
      </c>
      <c r="E672" s="195" t="s">
        <v>373</v>
      </c>
      <c r="F672" s="71" t="s">
        <v>367</v>
      </c>
      <c r="G672" s="71" t="s">
        <v>1057</v>
      </c>
      <c r="H672" s="71" t="s">
        <v>415</v>
      </c>
      <c r="I672" s="71" t="s">
        <v>1064</v>
      </c>
    </row>
    <row r="673" spans="1:9" ht="29" x14ac:dyDescent="0.35">
      <c r="A673" s="195">
        <v>5</v>
      </c>
      <c r="B673" s="195">
        <v>24</v>
      </c>
      <c r="C673" s="195" t="s">
        <v>1081</v>
      </c>
      <c r="D673" s="64">
        <v>732600</v>
      </c>
      <c r="E673" s="195" t="s">
        <v>366</v>
      </c>
      <c r="F673" s="71" t="s">
        <v>367</v>
      </c>
      <c r="G673" s="71" t="s">
        <v>1082</v>
      </c>
      <c r="H673" s="71" t="s">
        <v>363</v>
      </c>
      <c r="I673" s="71" t="s">
        <v>1054</v>
      </c>
    </row>
    <row r="674" spans="1:9" ht="29" x14ac:dyDescent="0.35">
      <c r="A674" s="195">
        <v>5</v>
      </c>
      <c r="B674" s="195">
        <v>25</v>
      </c>
      <c r="C674" s="195" t="s">
        <v>1083</v>
      </c>
      <c r="D674" s="64">
        <v>8670</v>
      </c>
      <c r="E674" s="195" t="s">
        <v>366</v>
      </c>
      <c r="F674" s="71" t="s">
        <v>367</v>
      </c>
      <c r="G674" s="71" t="s">
        <v>1082</v>
      </c>
      <c r="H674" s="71" t="s">
        <v>371</v>
      </c>
      <c r="I674" s="71" t="s">
        <v>1054</v>
      </c>
    </row>
    <row r="675" spans="1:9" ht="43.5" x14ac:dyDescent="0.35">
      <c r="A675" s="195">
        <v>5</v>
      </c>
      <c r="B675" s="195">
        <v>26</v>
      </c>
      <c r="C675" s="195" t="s">
        <v>1084</v>
      </c>
      <c r="D675" s="64">
        <v>2115</v>
      </c>
      <c r="E675" s="195" t="s">
        <v>373</v>
      </c>
      <c r="F675" s="71" t="s">
        <v>367</v>
      </c>
      <c r="G675" s="71" t="s">
        <v>1082</v>
      </c>
      <c r="H675" s="71" t="s">
        <v>371</v>
      </c>
      <c r="I675" s="71" t="s">
        <v>1060</v>
      </c>
    </row>
    <row r="676" spans="1:9" ht="29" x14ac:dyDescent="0.35">
      <c r="A676" s="195">
        <v>5</v>
      </c>
      <c r="B676" s="195">
        <v>27</v>
      </c>
      <c r="C676" s="195" t="s">
        <v>1085</v>
      </c>
      <c r="D676" s="64">
        <v>4650</v>
      </c>
      <c r="E676" s="195" t="s">
        <v>373</v>
      </c>
      <c r="F676" s="71" t="s">
        <v>367</v>
      </c>
      <c r="G676" s="71" t="s">
        <v>1082</v>
      </c>
      <c r="H676" s="71" t="s">
        <v>371</v>
      </c>
      <c r="I676" s="71" t="s">
        <v>1062</v>
      </c>
    </row>
    <row r="677" spans="1:9" ht="29" x14ac:dyDescent="0.35">
      <c r="A677" s="195">
        <v>5</v>
      </c>
      <c r="B677" s="195">
        <v>28</v>
      </c>
      <c r="C677" s="195" t="s">
        <v>1086</v>
      </c>
      <c r="D677" s="64">
        <v>1910</v>
      </c>
      <c r="E677" s="195" t="s">
        <v>373</v>
      </c>
      <c r="F677" s="71" t="s">
        <v>367</v>
      </c>
      <c r="G677" s="71" t="s">
        <v>1082</v>
      </c>
      <c r="H677" s="71" t="s">
        <v>371</v>
      </c>
      <c r="I677" s="71" t="s">
        <v>1064</v>
      </c>
    </row>
    <row r="678" spans="1:9" ht="43.5" x14ac:dyDescent="0.35">
      <c r="A678" s="195">
        <v>5</v>
      </c>
      <c r="B678" s="195">
        <v>29</v>
      </c>
      <c r="C678" s="195" t="s">
        <v>1087</v>
      </c>
      <c r="D678" s="64">
        <v>35580</v>
      </c>
      <c r="E678" s="195" t="s">
        <v>366</v>
      </c>
      <c r="F678" s="71" t="s">
        <v>367</v>
      </c>
      <c r="G678" s="71" t="s">
        <v>1082</v>
      </c>
      <c r="H678" s="71" t="s">
        <v>388</v>
      </c>
      <c r="I678" s="71" t="s">
        <v>1054</v>
      </c>
    </row>
    <row r="679" spans="1:9" ht="43.5" x14ac:dyDescent="0.35">
      <c r="A679" s="195">
        <v>5</v>
      </c>
      <c r="B679" s="195">
        <v>30</v>
      </c>
      <c r="C679" s="195" t="s">
        <v>1088</v>
      </c>
      <c r="D679" s="64">
        <v>9510</v>
      </c>
      <c r="E679" s="195" t="s">
        <v>373</v>
      </c>
      <c r="F679" s="71" t="s">
        <v>367</v>
      </c>
      <c r="G679" s="71" t="s">
        <v>1082</v>
      </c>
      <c r="H679" s="71" t="s">
        <v>388</v>
      </c>
      <c r="I679" s="71" t="s">
        <v>1060</v>
      </c>
    </row>
    <row r="680" spans="1:9" ht="43.5" x14ac:dyDescent="0.35">
      <c r="A680" s="195">
        <v>5</v>
      </c>
      <c r="B680" s="195">
        <v>31</v>
      </c>
      <c r="C680" s="195" t="s">
        <v>1089</v>
      </c>
      <c r="D680" s="64">
        <v>17095</v>
      </c>
      <c r="E680" s="195" t="s">
        <v>373</v>
      </c>
      <c r="F680" s="71" t="s">
        <v>367</v>
      </c>
      <c r="G680" s="71" t="s">
        <v>1082</v>
      </c>
      <c r="H680" s="71" t="s">
        <v>388</v>
      </c>
      <c r="I680" s="71" t="s">
        <v>1062</v>
      </c>
    </row>
    <row r="681" spans="1:9" ht="43.5" x14ac:dyDescent="0.35">
      <c r="A681" s="195">
        <v>5</v>
      </c>
      <c r="B681" s="195">
        <v>32</v>
      </c>
      <c r="C681" s="195" t="s">
        <v>1090</v>
      </c>
      <c r="D681" s="64">
        <v>8975</v>
      </c>
      <c r="E681" s="195" t="s">
        <v>373</v>
      </c>
      <c r="F681" s="71" t="s">
        <v>367</v>
      </c>
      <c r="G681" s="71" t="s">
        <v>1082</v>
      </c>
      <c r="H681" s="71" t="s">
        <v>388</v>
      </c>
      <c r="I681" s="71" t="s">
        <v>1064</v>
      </c>
    </row>
    <row r="682" spans="1:9" ht="43.5" x14ac:dyDescent="0.35">
      <c r="A682" s="195">
        <v>5</v>
      </c>
      <c r="B682" s="195">
        <v>33</v>
      </c>
      <c r="C682" s="195" t="s">
        <v>1091</v>
      </c>
      <c r="D682" s="64">
        <v>85215</v>
      </c>
      <c r="E682" s="195" t="s">
        <v>366</v>
      </c>
      <c r="F682" s="71" t="s">
        <v>367</v>
      </c>
      <c r="G682" s="71" t="s">
        <v>1082</v>
      </c>
      <c r="H682" s="71" t="s">
        <v>397</v>
      </c>
      <c r="I682" s="71" t="s">
        <v>1054</v>
      </c>
    </row>
    <row r="683" spans="1:9" ht="43.5" x14ac:dyDescent="0.35">
      <c r="A683" s="195">
        <v>5</v>
      </c>
      <c r="B683" s="195">
        <v>34</v>
      </c>
      <c r="C683" s="195" t="s">
        <v>1092</v>
      </c>
      <c r="D683" s="64">
        <v>27220</v>
      </c>
      <c r="E683" s="195" t="s">
        <v>373</v>
      </c>
      <c r="F683" s="71" t="s">
        <v>367</v>
      </c>
      <c r="G683" s="71" t="s">
        <v>1082</v>
      </c>
      <c r="H683" s="71" t="s">
        <v>397</v>
      </c>
      <c r="I683" s="71" t="s">
        <v>1060</v>
      </c>
    </row>
    <row r="684" spans="1:9" ht="43.5" x14ac:dyDescent="0.35">
      <c r="A684" s="195">
        <v>5</v>
      </c>
      <c r="B684" s="195">
        <v>35</v>
      </c>
      <c r="C684" s="195" t="s">
        <v>1093</v>
      </c>
      <c r="D684" s="64">
        <v>23265</v>
      </c>
      <c r="E684" s="195" t="s">
        <v>373</v>
      </c>
      <c r="F684" s="71" t="s">
        <v>367</v>
      </c>
      <c r="G684" s="71" t="s">
        <v>1082</v>
      </c>
      <c r="H684" s="71" t="s">
        <v>397</v>
      </c>
      <c r="I684" s="71" t="s">
        <v>1062</v>
      </c>
    </row>
    <row r="685" spans="1:9" ht="43.5" x14ac:dyDescent="0.35">
      <c r="A685" s="195">
        <v>5</v>
      </c>
      <c r="B685" s="195">
        <v>36</v>
      </c>
      <c r="C685" s="195" t="s">
        <v>1094</v>
      </c>
      <c r="D685" s="64">
        <v>34730</v>
      </c>
      <c r="E685" s="195" t="s">
        <v>373</v>
      </c>
      <c r="F685" s="71" t="s">
        <v>367</v>
      </c>
      <c r="G685" s="71" t="s">
        <v>1082</v>
      </c>
      <c r="H685" s="71" t="s">
        <v>397</v>
      </c>
      <c r="I685" s="71" t="s">
        <v>1064</v>
      </c>
    </row>
    <row r="686" spans="1:9" ht="43.5" x14ac:dyDescent="0.35">
      <c r="A686" s="195">
        <v>5</v>
      </c>
      <c r="B686" s="195">
        <v>37</v>
      </c>
      <c r="C686" s="195" t="s">
        <v>1095</v>
      </c>
      <c r="D686" s="64">
        <v>74685</v>
      </c>
      <c r="E686" s="195" t="s">
        <v>366</v>
      </c>
      <c r="F686" s="71" t="s">
        <v>367</v>
      </c>
      <c r="G686" s="71" t="s">
        <v>1082</v>
      </c>
      <c r="H686" s="71" t="s">
        <v>406</v>
      </c>
      <c r="I686" s="71" t="s">
        <v>1054</v>
      </c>
    </row>
    <row r="687" spans="1:9" ht="43.5" x14ac:dyDescent="0.35">
      <c r="A687" s="195">
        <v>5</v>
      </c>
      <c r="B687" s="195">
        <v>38</v>
      </c>
      <c r="C687" s="195" t="s">
        <v>1096</v>
      </c>
      <c r="D687" s="64">
        <v>21010</v>
      </c>
      <c r="E687" s="195" t="s">
        <v>373</v>
      </c>
      <c r="F687" s="71" t="s">
        <v>367</v>
      </c>
      <c r="G687" s="71" t="s">
        <v>1082</v>
      </c>
      <c r="H687" s="71" t="s">
        <v>406</v>
      </c>
      <c r="I687" s="71" t="s">
        <v>1060</v>
      </c>
    </row>
    <row r="688" spans="1:9" ht="43.5" x14ac:dyDescent="0.35">
      <c r="A688" s="195">
        <v>5</v>
      </c>
      <c r="B688" s="195">
        <v>39</v>
      </c>
      <c r="C688" s="195" t="s">
        <v>1097</v>
      </c>
      <c r="D688" s="64">
        <v>12720</v>
      </c>
      <c r="E688" s="195" t="s">
        <v>373</v>
      </c>
      <c r="F688" s="71" t="s">
        <v>367</v>
      </c>
      <c r="G688" s="71" t="s">
        <v>1082</v>
      </c>
      <c r="H688" s="71" t="s">
        <v>406</v>
      </c>
      <c r="I688" s="71" t="s">
        <v>1062</v>
      </c>
    </row>
    <row r="689" spans="1:9" ht="43.5" x14ac:dyDescent="0.35">
      <c r="A689" s="195">
        <v>5</v>
      </c>
      <c r="B689" s="195">
        <v>40</v>
      </c>
      <c r="C689" s="195" t="s">
        <v>1098</v>
      </c>
      <c r="D689" s="64">
        <v>40955</v>
      </c>
      <c r="E689" s="195" t="s">
        <v>373</v>
      </c>
      <c r="F689" s="71" t="s">
        <v>367</v>
      </c>
      <c r="G689" s="71" t="s">
        <v>1082</v>
      </c>
      <c r="H689" s="71" t="s">
        <v>406</v>
      </c>
      <c r="I689" s="71" t="s">
        <v>1064</v>
      </c>
    </row>
    <row r="690" spans="1:9" ht="29" x14ac:dyDescent="0.35">
      <c r="A690" s="195">
        <v>5</v>
      </c>
      <c r="B690" s="195">
        <v>41</v>
      </c>
      <c r="C690" s="195" t="s">
        <v>1099</v>
      </c>
      <c r="D690" s="64">
        <v>528445</v>
      </c>
      <c r="E690" s="195" t="s">
        <v>366</v>
      </c>
      <c r="F690" s="71" t="s">
        <v>367</v>
      </c>
      <c r="G690" s="71" t="s">
        <v>1082</v>
      </c>
      <c r="H690" s="71" t="s">
        <v>415</v>
      </c>
      <c r="I690" s="71" t="s">
        <v>1054</v>
      </c>
    </row>
    <row r="691" spans="1:9" ht="43.5" x14ac:dyDescent="0.35">
      <c r="A691" s="195">
        <v>5</v>
      </c>
      <c r="B691" s="195">
        <v>42</v>
      </c>
      <c r="C691" s="195" t="s">
        <v>1100</v>
      </c>
      <c r="D691" s="64">
        <v>119395</v>
      </c>
      <c r="E691" s="195" t="s">
        <v>373</v>
      </c>
      <c r="F691" s="71" t="s">
        <v>367</v>
      </c>
      <c r="G691" s="71" t="s">
        <v>1082</v>
      </c>
      <c r="H691" s="71" t="s">
        <v>415</v>
      </c>
      <c r="I691" s="71" t="s">
        <v>1060</v>
      </c>
    </row>
    <row r="692" spans="1:9" ht="29" x14ac:dyDescent="0.35">
      <c r="A692" s="195">
        <v>5</v>
      </c>
      <c r="B692" s="195">
        <v>43</v>
      </c>
      <c r="C692" s="195" t="s">
        <v>1101</v>
      </c>
      <c r="D692" s="64">
        <v>40355</v>
      </c>
      <c r="E692" s="195" t="s">
        <v>373</v>
      </c>
      <c r="F692" s="71" t="s">
        <v>367</v>
      </c>
      <c r="G692" s="71" t="s">
        <v>1082</v>
      </c>
      <c r="H692" s="71" t="s">
        <v>415</v>
      </c>
      <c r="I692" s="71" t="s">
        <v>1062</v>
      </c>
    </row>
    <row r="693" spans="1:9" ht="29" x14ac:dyDescent="0.35">
      <c r="A693" s="195">
        <v>5</v>
      </c>
      <c r="B693" s="195">
        <v>44</v>
      </c>
      <c r="C693" s="195" t="s">
        <v>1102</v>
      </c>
      <c r="D693" s="64">
        <v>368695</v>
      </c>
      <c r="E693" s="195" t="s">
        <v>373</v>
      </c>
      <c r="F693" s="71" t="s">
        <v>367</v>
      </c>
      <c r="G693" s="71" t="s">
        <v>1082</v>
      </c>
      <c r="H693" s="71" t="s">
        <v>415</v>
      </c>
      <c r="I693" s="71" t="s">
        <v>1064</v>
      </c>
    </row>
    <row r="694" spans="1:9" ht="58" x14ac:dyDescent="0.35">
      <c r="A694" s="195">
        <v>5</v>
      </c>
      <c r="B694" s="195">
        <v>45</v>
      </c>
      <c r="C694" s="195" t="s">
        <v>1103</v>
      </c>
      <c r="D694" s="64">
        <v>10065</v>
      </c>
      <c r="E694" s="195" t="s">
        <v>366</v>
      </c>
      <c r="F694" s="71" t="s">
        <v>367</v>
      </c>
      <c r="G694" s="71" t="s">
        <v>1013</v>
      </c>
      <c r="H694" s="71" t="s">
        <v>363</v>
      </c>
      <c r="I694" s="71" t="s">
        <v>1054</v>
      </c>
    </row>
    <row r="695" spans="1:9" ht="58" x14ac:dyDescent="0.35">
      <c r="A695" s="195">
        <v>5</v>
      </c>
      <c r="B695" s="195">
        <v>46</v>
      </c>
      <c r="C695" s="195" t="s">
        <v>1104</v>
      </c>
      <c r="D695" s="64">
        <v>10065</v>
      </c>
      <c r="E695" s="195" t="s">
        <v>366</v>
      </c>
      <c r="F695" s="71" t="s">
        <v>367</v>
      </c>
      <c r="G695" s="71" t="s">
        <v>1013</v>
      </c>
      <c r="H695" s="71" t="s">
        <v>371</v>
      </c>
      <c r="I695" s="71" t="s">
        <v>1054</v>
      </c>
    </row>
    <row r="696" spans="1:9" ht="58" x14ac:dyDescent="0.35">
      <c r="A696" s="195">
        <v>5</v>
      </c>
      <c r="B696" s="195">
        <v>47</v>
      </c>
      <c r="C696" s="195" t="s">
        <v>1105</v>
      </c>
      <c r="D696" s="64">
        <v>1795</v>
      </c>
      <c r="E696" s="195" t="s">
        <v>373</v>
      </c>
      <c r="F696" s="71" t="s">
        <v>367</v>
      </c>
      <c r="G696" s="71" t="s">
        <v>1013</v>
      </c>
      <c r="H696" s="71" t="s">
        <v>371</v>
      </c>
      <c r="I696" s="71" t="s">
        <v>1060</v>
      </c>
    </row>
    <row r="697" spans="1:9" ht="58" x14ac:dyDescent="0.35">
      <c r="A697" s="195">
        <v>5</v>
      </c>
      <c r="B697" s="195">
        <v>48</v>
      </c>
      <c r="C697" s="195" t="s">
        <v>1106</v>
      </c>
      <c r="D697" s="64">
        <v>1840</v>
      </c>
      <c r="E697" s="195" t="s">
        <v>373</v>
      </c>
      <c r="F697" s="71" t="s">
        <v>367</v>
      </c>
      <c r="G697" s="71" t="s">
        <v>1013</v>
      </c>
      <c r="H697" s="71" t="s">
        <v>371</v>
      </c>
      <c r="I697" s="71" t="s">
        <v>1062</v>
      </c>
    </row>
    <row r="698" spans="1:9" ht="58" x14ac:dyDescent="0.35">
      <c r="A698" s="195">
        <v>5</v>
      </c>
      <c r="B698" s="195">
        <v>49</v>
      </c>
      <c r="C698" s="195" t="s">
        <v>1107</v>
      </c>
      <c r="D698" s="64">
        <v>6425</v>
      </c>
      <c r="E698" s="195" t="s">
        <v>373</v>
      </c>
      <c r="F698" s="71" t="s">
        <v>367</v>
      </c>
      <c r="G698" s="71" t="s">
        <v>1013</v>
      </c>
      <c r="H698" s="71" t="s">
        <v>371</v>
      </c>
      <c r="I698" s="71" t="s">
        <v>1064</v>
      </c>
    </row>
    <row r="699" spans="1:9" ht="58" x14ac:dyDescent="0.35">
      <c r="A699" s="195">
        <v>5</v>
      </c>
      <c r="B699" s="195">
        <v>50</v>
      </c>
      <c r="C699" s="195" t="s">
        <v>1108</v>
      </c>
      <c r="D699" s="195">
        <v>0</v>
      </c>
      <c r="E699" s="195" t="s">
        <v>366</v>
      </c>
      <c r="F699" s="71" t="s">
        <v>367</v>
      </c>
      <c r="G699" s="71" t="s">
        <v>1013</v>
      </c>
      <c r="H699" s="71" t="s">
        <v>388</v>
      </c>
      <c r="I699" s="71" t="s">
        <v>1054</v>
      </c>
    </row>
    <row r="700" spans="1:9" ht="58" x14ac:dyDescent="0.35">
      <c r="A700" s="195">
        <v>5</v>
      </c>
      <c r="B700" s="195">
        <v>51</v>
      </c>
      <c r="C700" s="195" t="s">
        <v>1109</v>
      </c>
      <c r="D700" s="195">
        <v>0</v>
      </c>
      <c r="E700" s="195" t="s">
        <v>373</v>
      </c>
      <c r="F700" s="71" t="s">
        <v>367</v>
      </c>
      <c r="G700" s="71" t="s">
        <v>1013</v>
      </c>
      <c r="H700" s="71" t="s">
        <v>388</v>
      </c>
      <c r="I700" s="71" t="s">
        <v>1060</v>
      </c>
    </row>
    <row r="701" spans="1:9" ht="58" x14ac:dyDescent="0.35">
      <c r="A701" s="195">
        <v>5</v>
      </c>
      <c r="B701" s="195">
        <v>52</v>
      </c>
      <c r="C701" s="195" t="s">
        <v>1110</v>
      </c>
      <c r="D701" s="195">
        <v>0</v>
      </c>
      <c r="E701" s="195" t="s">
        <v>373</v>
      </c>
      <c r="F701" s="71" t="s">
        <v>367</v>
      </c>
      <c r="G701" s="71" t="s">
        <v>1013</v>
      </c>
      <c r="H701" s="71" t="s">
        <v>388</v>
      </c>
      <c r="I701" s="71" t="s">
        <v>1062</v>
      </c>
    </row>
    <row r="702" spans="1:9" ht="58" x14ac:dyDescent="0.35">
      <c r="A702" s="195">
        <v>5</v>
      </c>
      <c r="B702" s="195">
        <v>53</v>
      </c>
      <c r="C702" s="195" t="s">
        <v>1111</v>
      </c>
      <c r="D702" s="195">
        <v>0</v>
      </c>
      <c r="E702" s="195" t="s">
        <v>373</v>
      </c>
      <c r="F702" s="71" t="s">
        <v>367</v>
      </c>
      <c r="G702" s="71" t="s">
        <v>1013</v>
      </c>
      <c r="H702" s="71" t="s">
        <v>388</v>
      </c>
      <c r="I702" s="71" t="s">
        <v>1064</v>
      </c>
    </row>
    <row r="703" spans="1:9" ht="58" x14ac:dyDescent="0.35">
      <c r="A703" s="195">
        <v>5</v>
      </c>
      <c r="B703" s="195">
        <v>54</v>
      </c>
      <c r="C703" s="195" t="s">
        <v>1112</v>
      </c>
      <c r="D703" s="195">
        <v>0</v>
      </c>
      <c r="E703" s="195" t="s">
        <v>366</v>
      </c>
      <c r="F703" s="71" t="s">
        <v>367</v>
      </c>
      <c r="G703" s="71" t="s">
        <v>1013</v>
      </c>
      <c r="H703" s="71" t="s">
        <v>397</v>
      </c>
      <c r="I703" s="71" t="s">
        <v>1054</v>
      </c>
    </row>
    <row r="704" spans="1:9" ht="58" x14ac:dyDescent="0.35">
      <c r="A704" s="195">
        <v>5</v>
      </c>
      <c r="B704" s="195">
        <v>55</v>
      </c>
      <c r="C704" s="195" t="s">
        <v>1113</v>
      </c>
      <c r="D704" s="195">
        <v>0</v>
      </c>
      <c r="E704" s="195" t="s">
        <v>373</v>
      </c>
      <c r="F704" s="71" t="s">
        <v>367</v>
      </c>
      <c r="G704" s="71" t="s">
        <v>1013</v>
      </c>
      <c r="H704" s="71" t="s">
        <v>397</v>
      </c>
      <c r="I704" s="71" t="s">
        <v>1060</v>
      </c>
    </row>
    <row r="705" spans="1:9" ht="58" x14ac:dyDescent="0.35">
      <c r="A705" s="195">
        <v>5</v>
      </c>
      <c r="B705" s="195">
        <v>56</v>
      </c>
      <c r="C705" s="195" t="s">
        <v>1114</v>
      </c>
      <c r="D705" s="195">
        <v>0</v>
      </c>
      <c r="E705" s="195" t="s">
        <v>373</v>
      </c>
      <c r="F705" s="71" t="s">
        <v>367</v>
      </c>
      <c r="G705" s="71" t="s">
        <v>1013</v>
      </c>
      <c r="H705" s="71" t="s">
        <v>397</v>
      </c>
      <c r="I705" s="71" t="s">
        <v>1062</v>
      </c>
    </row>
    <row r="706" spans="1:9" ht="58" x14ac:dyDescent="0.35">
      <c r="A706" s="195">
        <v>5</v>
      </c>
      <c r="B706" s="195">
        <v>57</v>
      </c>
      <c r="C706" s="195" t="s">
        <v>1115</v>
      </c>
      <c r="D706" s="195">
        <v>0</v>
      </c>
      <c r="E706" s="195" t="s">
        <v>373</v>
      </c>
      <c r="F706" s="71" t="s">
        <v>367</v>
      </c>
      <c r="G706" s="71" t="s">
        <v>1013</v>
      </c>
      <c r="H706" s="71" t="s">
        <v>397</v>
      </c>
      <c r="I706" s="71" t="s">
        <v>1064</v>
      </c>
    </row>
    <row r="707" spans="1:9" ht="58" x14ac:dyDescent="0.35">
      <c r="A707" s="195">
        <v>5</v>
      </c>
      <c r="B707" s="195">
        <v>58</v>
      </c>
      <c r="C707" s="195" t="s">
        <v>1116</v>
      </c>
      <c r="D707" s="195">
        <v>0</v>
      </c>
      <c r="E707" s="195" t="s">
        <v>366</v>
      </c>
      <c r="F707" s="71" t="s">
        <v>367</v>
      </c>
      <c r="G707" s="71" t="s">
        <v>1013</v>
      </c>
      <c r="H707" s="71" t="s">
        <v>406</v>
      </c>
      <c r="I707" s="71" t="s">
        <v>1054</v>
      </c>
    </row>
    <row r="708" spans="1:9" ht="58" x14ac:dyDescent="0.35">
      <c r="A708" s="195">
        <v>5</v>
      </c>
      <c r="B708" s="195">
        <v>59</v>
      </c>
      <c r="C708" s="195" t="s">
        <v>1117</v>
      </c>
      <c r="D708" s="195">
        <v>0</v>
      </c>
      <c r="E708" s="195" t="s">
        <v>373</v>
      </c>
      <c r="F708" s="71" t="s">
        <v>367</v>
      </c>
      <c r="G708" s="71" t="s">
        <v>1013</v>
      </c>
      <c r="H708" s="71" t="s">
        <v>406</v>
      </c>
      <c r="I708" s="71" t="s">
        <v>1060</v>
      </c>
    </row>
    <row r="709" spans="1:9" ht="58" x14ac:dyDescent="0.35">
      <c r="A709" s="195">
        <v>5</v>
      </c>
      <c r="B709" s="195">
        <v>60</v>
      </c>
      <c r="C709" s="195" t="s">
        <v>1118</v>
      </c>
      <c r="D709" s="195">
        <v>0</v>
      </c>
      <c r="E709" s="195" t="s">
        <v>373</v>
      </c>
      <c r="F709" s="71" t="s">
        <v>367</v>
      </c>
      <c r="G709" s="71" t="s">
        <v>1013</v>
      </c>
      <c r="H709" s="71" t="s">
        <v>406</v>
      </c>
      <c r="I709" s="71" t="s">
        <v>1062</v>
      </c>
    </row>
    <row r="710" spans="1:9" ht="58" x14ac:dyDescent="0.35">
      <c r="A710" s="195">
        <v>5</v>
      </c>
      <c r="B710" s="195">
        <v>61</v>
      </c>
      <c r="C710" s="195" t="s">
        <v>1119</v>
      </c>
      <c r="D710" s="195">
        <v>0</v>
      </c>
      <c r="E710" s="195" t="s">
        <v>373</v>
      </c>
      <c r="F710" s="71" t="s">
        <v>367</v>
      </c>
      <c r="G710" s="71" t="s">
        <v>1013</v>
      </c>
      <c r="H710" s="71" t="s">
        <v>406</v>
      </c>
      <c r="I710" s="71" t="s">
        <v>1064</v>
      </c>
    </row>
    <row r="711" spans="1:9" ht="58" x14ac:dyDescent="0.35">
      <c r="A711" s="195">
        <v>5</v>
      </c>
      <c r="B711" s="195">
        <v>62</v>
      </c>
      <c r="C711" s="195" t="s">
        <v>1120</v>
      </c>
      <c r="D711" s="195">
        <v>0</v>
      </c>
      <c r="E711" s="195" t="s">
        <v>366</v>
      </c>
      <c r="F711" s="71" t="s">
        <v>367</v>
      </c>
      <c r="G711" s="71" t="s">
        <v>1013</v>
      </c>
      <c r="H711" s="71" t="s">
        <v>415</v>
      </c>
      <c r="I711" s="71" t="s">
        <v>1054</v>
      </c>
    </row>
    <row r="712" spans="1:9" ht="58" x14ac:dyDescent="0.35">
      <c r="A712" s="195">
        <v>5</v>
      </c>
      <c r="B712" s="195">
        <v>63</v>
      </c>
      <c r="C712" s="195" t="s">
        <v>1121</v>
      </c>
      <c r="D712" s="195">
        <v>0</v>
      </c>
      <c r="E712" s="195" t="s">
        <v>373</v>
      </c>
      <c r="F712" s="71" t="s">
        <v>367</v>
      </c>
      <c r="G712" s="71" t="s">
        <v>1013</v>
      </c>
      <c r="H712" s="71" t="s">
        <v>415</v>
      </c>
      <c r="I712" s="71" t="s">
        <v>1060</v>
      </c>
    </row>
    <row r="713" spans="1:9" ht="58" x14ac:dyDescent="0.35">
      <c r="A713" s="195">
        <v>5</v>
      </c>
      <c r="B713" s="195">
        <v>64</v>
      </c>
      <c r="C713" s="195" t="s">
        <v>1122</v>
      </c>
      <c r="D713" s="195">
        <v>0</v>
      </c>
      <c r="E713" s="195" t="s">
        <v>373</v>
      </c>
      <c r="F713" s="71" t="s">
        <v>367</v>
      </c>
      <c r="G713" s="71" t="s">
        <v>1013</v>
      </c>
      <c r="H713" s="71" t="s">
        <v>415</v>
      </c>
      <c r="I713" s="71" t="s">
        <v>1062</v>
      </c>
    </row>
    <row r="714" spans="1:9" ht="58" x14ac:dyDescent="0.35">
      <c r="A714" s="195">
        <v>5</v>
      </c>
      <c r="B714" s="195">
        <v>65</v>
      </c>
      <c r="C714" s="195" t="s">
        <v>1123</v>
      </c>
      <c r="D714" s="195">
        <v>0</v>
      </c>
      <c r="E714" s="195" t="s">
        <v>373</v>
      </c>
      <c r="F714" s="71" t="s">
        <v>367</v>
      </c>
      <c r="G714" s="71" t="s">
        <v>1013</v>
      </c>
      <c r="H714" s="71" t="s">
        <v>415</v>
      </c>
      <c r="I714" s="71" t="s">
        <v>1064</v>
      </c>
    </row>
    <row r="715" spans="1:9" x14ac:dyDescent="0.35">
      <c r="A715" s="195">
        <v>5</v>
      </c>
      <c r="B715" s="195">
        <v>66</v>
      </c>
      <c r="C715" s="195" t="s">
        <v>1124</v>
      </c>
      <c r="D715" s="64">
        <v>846440</v>
      </c>
      <c r="E715" s="195" t="s">
        <v>366</v>
      </c>
      <c r="F715" s="71" t="s">
        <v>508</v>
      </c>
      <c r="G715" s="71" t="s">
        <v>362</v>
      </c>
      <c r="H715" s="71" t="s">
        <v>363</v>
      </c>
      <c r="I715" s="71" t="s">
        <v>1054</v>
      </c>
    </row>
    <row r="716" spans="1:9" ht="43.5" x14ac:dyDescent="0.35">
      <c r="A716" s="195">
        <v>5</v>
      </c>
      <c r="B716" s="195">
        <v>67</v>
      </c>
      <c r="C716" s="195" t="s">
        <v>1125</v>
      </c>
      <c r="D716" s="64">
        <v>419265</v>
      </c>
      <c r="E716" s="195" t="s">
        <v>366</v>
      </c>
      <c r="F716" s="71" t="s">
        <v>508</v>
      </c>
      <c r="G716" s="71" t="s">
        <v>1057</v>
      </c>
      <c r="H716" s="71" t="s">
        <v>363</v>
      </c>
      <c r="I716" s="71" t="s">
        <v>1054</v>
      </c>
    </row>
    <row r="717" spans="1:9" ht="43.5" x14ac:dyDescent="0.35">
      <c r="A717" s="195">
        <v>5</v>
      </c>
      <c r="B717" s="195">
        <v>68</v>
      </c>
      <c r="C717" s="195" t="s">
        <v>1126</v>
      </c>
      <c r="D717" s="64">
        <v>203660</v>
      </c>
      <c r="E717" s="195" t="s">
        <v>366</v>
      </c>
      <c r="F717" s="71" t="s">
        <v>508</v>
      </c>
      <c r="G717" s="71" t="s">
        <v>1057</v>
      </c>
      <c r="H717" s="71" t="s">
        <v>371</v>
      </c>
      <c r="I717" s="71" t="s">
        <v>1054</v>
      </c>
    </row>
    <row r="718" spans="1:9" ht="43.5" x14ac:dyDescent="0.35">
      <c r="A718" s="195">
        <v>5</v>
      </c>
      <c r="B718" s="195">
        <v>69</v>
      </c>
      <c r="C718" s="195" t="s">
        <v>1127</v>
      </c>
      <c r="D718" s="64">
        <v>33420</v>
      </c>
      <c r="E718" s="195" t="s">
        <v>373</v>
      </c>
      <c r="F718" s="71" t="s">
        <v>508</v>
      </c>
      <c r="G718" s="71" t="s">
        <v>1057</v>
      </c>
      <c r="H718" s="71" t="s">
        <v>371</v>
      </c>
      <c r="I718" s="71" t="s">
        <v>1060</v>
      </c>
    </row>
    <row r="719" spans="1:9" ht="43.5" x14ac:dyDescent="0.35">
      <c r="A719" s="195">
        <v>5</v>
      </c>
      <c r="B719" s="195">
        <v>70</v>
      </c>
      <c r="C719" s="195" t="s">
        <v>1128</v>
      </c>
      <c r="D719" s="64">
        <v>20105</v>
      </c>
      <c r="E719" s="195" t="s">
        <v>373</v>
      </c>
      <c r="F719" s="71" t="s">
        <v>508</v>
      </c>
      <c r="G719" s="71" t="s">
        <v>1057</v>
      </c>
      <c r="H719" s="71" t="s">
        <v>371</v>
      </c>
      <c r="I719" s="71" t="s">
        <v>1062</v>
      </c>
    </row>
    <row r="720" spans="1:9" ht="43.5" x14ac:dyDescent="0.35">
      <c r="A720" s="195">
        <v>5</v>
      </c>
      <c r="B720" s="195">
        <v>71</v>
      </c>
      <c r="C720" s="195" t="s">
        <v>1129</v>
      </c>
      <c r="D720" s="64">
        <v>150135</v>
      </c>
      <c r="E720" s="195" t="s">
        <v>373</v>
      </c>
      <c r="F720" s="71" t="s">
        <v>508</v>
      </c>
      <c r="G720" s="71" t="s">
        <v>1057</v>
      </c>
      <c r="H720" s="71" t="s">
        <v>371</v>
      </c>
      <c r="I720" s="71" t="s">
        <v>1064</v>
      </c>
    </row>
    <row r="721" spans="1:9" ht="43.5" x14ac:dyDescent="0.35">
      <c r="A721" s="195">
        <v>5</v>
      </c>
      <c r="B721" s="195">
        <v>72</v>
      </c>
      <c r="C721" s="195" t="s">
        <v>1130</v>
      </c>
      <c r="D721" s="64">
        <v>119070</v>
      </c>
      <c r="E721" s="195" t="s">
        <v>366</v>
      </c>
      <c r="F721" s="71" t="s">
        <v>508</v>
      </c>
      <c r="G721" s="71" t="s">
        <v>1057</v>
      </c>
      <c r="H721" s="71" t="s">
        <v>388</v>
      </c>
      <c r="I721" s="71" t="s">
        <v>1054</v>
      </c>
    </row>
    <row r="722" spans="1:9" ht="43.5" x14ac:dyDescent="0.35">
      <c r="A722" s="195">
        <v>5</v>
      </c>
      <c r="B722" s="195">
        <v>73</v>
      </c>
      <c r="C722" s="195" t="s">
        <v>1131</v>
      </c>
      <c r="D722" s="64">
        <v>17345</v>
      </c>
      <c r="E722" s="195" t="s">
        <v>373</v>
      </c>
      <c r="F722" s="71" t="s">
        <v>508</v>
      </c>
      <c r="G722" s="71" t="s">
        <v>1057</v>
      </c>
      <c r="H722" s="71" t="s">
        <v>388</v>
      </c>
      <c r="I722" s="71" t="s">
        <v>1060</v>
      </c>
    </row>
    <row r="723" spans="1:9" ht="43.5" x14ac:dyDescent="0.35">
      <c r="A723" s="195">
        <v>5</v>
      </c>
      <c r="B723" s="195">
        <v>74</v>
      </c>
      <c r="C723" s="195" t="s">
        <v>1132</v>
      </c>
      <c r="D723" s="64">
        <v>9045</v>
      </c>
      <c r="E723" s="195" t="s">
        <v>373</v>
      </c>
      <c r="F723" s="71" t="s">
        <v>508</v>
      </c>
      <c r="G723" s="71" t="s">
        <v>1057</v>
      </c>
      <c r="H723" s="71" t="s">
        <v>388</v>
      </c>
      <c r="I723" s="71" t="s">
        <v>1062</v>
      </c>
    </row>
    <row r="724" spans="1:9" ht="43.5" x14ac:dyDescent="0.35">
      <c r="A724" s="195">
        <v>5</v>
      </c>
      <c r="B724" s="195">
        <v>75</v>
      </c>
      <c r="C724" s="195" t="s">
        <v>1133</v>
      </c>
      <c r="D724" s="64">
        <v>92680</v>
      </c>
      <c r="E724" s="195" t="s">
        <v>373</v>
      </c>
      <c r="F724" s="71" t="s">
        <v>508</v>
      </c>
      <c r="G724" s="71" t="s">
        <v>1057</v>
      </c>
      <c r="H724" s="71" t="s">
        <v>388</v>
      </c>
      <c r="I724" s="71" t="s">
        <v>1064</v>
      </c>
    </row>
    <row r="725" spans="1:9" ht="43.5" x14ac:dyDescent="0.35">
      <c r="A725" s="195">
        <v>5</v>
      </c>
      <c r="B725" s="195">
        <v>76</v>
      </c>
      <c r="C725" s="195" t="s">
        <v>1134</v>
      </c>
      <c r="D725" s="64">
        <v>63585</v>
      </c>
      <c r="E725" s="195" t="s">
        <v>366</v>
      </c>
      <c r="F725" s="71" t="s">
        <v>508</v>
      </c>
      <c r="G725" s="71" t="s">
        <v>1057</v>
      </c>
      <c r="H725" s="71" t="s">
        <v>397</v>
      </c>
      <c r="I725" s="71" t="s">
        <v>1054</v>
      </c>
    </row>
    <row r="726" spans="1:9" ht="43.5" x14ac:dyDescent="0.35">
      <c r="A726" s="195">
        <v>5</v>
      </c>
      <c r="B726" s="195">
        <v>77</v>
      </c>
      <c r="C726" s="195" t="s">
        <v>1135</v>
      </c>
      <c r="D726" s="64">
        <v>6800</v>
      </c>
      <c r="E726" s="195" t="s">
        <v>373</v>
      </c>
      <c r="F726" s="71" t="s">
        <v>508</v>
      </c>
      <c r="G726" s="71" t="s">
        <v>1057</v>
      </c>
      <c r="H726" s="71" t="s">
        <v>397</v>
      </c>
      <c r="I726" s="71" t="s">
        <v>1060</v>
      </c>
    </row>
    <row r="727" spans="1:9" ht="43.5" x14ac:dyDescent="0.35">
      <c r="A727" s="195">
        <v>5</v>
      </c>
      <c r="B727" s="195">
        <v>78</v>
      </c>
      <c r="C727" s="195" t="s">
        <v>1136</v>
      </c>
      <c r="D727" s="64">
        <v>3515</v>
      </c>
      <c r="E727" s="195" t="s">
        <v>373</v>
      </c>
      <c r="F727" s="71" t="s">
        <v>508</v>
      </c>
      <c r="G727" s="71" t="s">
        <v>1057</v>
      </c>
      <c r="H727" s="71" t="s">
        <v>397</v>
      </c>
      <c r="I727" s="71" t="s">
        <v>1062</v>
      </c>
    </row>
    <row r="728" spans="1:9" ht="43.5" x14ac:dyDescent="0.35">
      <c r="A728" s="195">
        <v>5</v>
      </c>
      <c r="B728" s="195">
        <v>79</v>
      </c>
      <c r="C728" s="195" t="s">
        <v>1137</v>
      </c>
      <c r="D728" s="64">
        <v>53270</v>
      </c>
      <c r="E728" s="195" t="s">
        <v>373</v>
      </c>
      <c r="F728" s="71" t="s">
        <v>508</v>
      </c>
      <c r="G728" s="71" t="s">
        <v>1057</v>
      </c>
      <c r="H728" s="71" t="s">
        <v>397</v>
      </c>
      <c r="I728" s="71" t="s">
        <v>1064</v>
      </c>
    </row>
    <row r="729" spans="1:9" ht="43.5" x14ac:dyDescent="0.35">
      <c r="A729" s="195">
        <v>5</v>
      </c>
      <c r="B729" s="195">
        <v>80</v>
      </c>
      <c r="C729" s="195" t="s">
        <v>1138</v>
      </c>
      <c r="D729" s="64">
        <v>15850</v>
      </c>
      <c r="E729" s="195" t="s">
        <v>366</v>
      </c>
      <c r="F729" s="71" t="s">
        <v>508</v>
      </c>
      <c r="G729" s="71" t="s">
        <v>1057</v>
      </c>
      <c r="H729" s="71" t="s">
        <v>406</v>
      </c>
      <c r="I729" s="71" t="s">
        <v>1054</v>
      </c>
    </row>
    <row r="730" spans="1:9" ht="43.5" x14ac:dyDescent="0.35">
      <c r="A730" s="195">
        <v>5</v>
      </c>
      <c r="B730" s="195">
        <v>81</v>
      </c>
      <c r="C730" s="195" t="s">
        <v>1139</v>
      </c>
      <c r="D730" s="64">
        <v>1265</v>
      </c>
      <c r="E730" s="195" t="s">
        <v>373</v>
      </c>
      <c r="F730" s="71" t="s">
        <v>508</v>
      </c>
      <c r="G730" s="71" t="s">
        <v>1057</v>
      </c>
      <c r="H730" s="71" t="s">
        <v>406</v>
      </c>
      <c r="I730" s="71" t="s">
        <v>1060</v>
      </c>
    </row>
    <row r="731" spans="1:9" ht="43.5" x14ac:dyDescent="0.35">
      <c r="A731" s="195">
        <v>5</v>
      </c>
      <c r="B731" s="195">
        <v>82</v>
      </c>
      <c r="C731" s="195" t="s">
        <v>1140</v>
      </c>
      <c r="D731" s="195">
        <v>760</v>
      </c>
      <c r="E731" s="195" t="s">
        <v>373</v>
      </c>
      <c r="F731" s="71" t="s">
        <v>508</v>
      </c>
      <c r="G731" s="71" t="s">
        <v>1057</v>
      </c>
      <c r="H731" s="71" t="s">
        <v>406</v>
      </c>
      <c r="I731" s="71" t="s">
        <v>1062</v>
      </c>
    </row>
    <row r="732" spans="1:9" ht="43.5" x14ac:dyDescent="0.35">
      <c r="A732" s="195">
        <v>5</v>
      </c>
      <c r="B732" s="195">
        <v>83</v>
      </c>
      <c r="C732" s="195" t="s">
        <v>1141</v>
      </c>
      <c r="D732" s="64">
        <v>13825</v>
      </c>
      <c r="E732" s="195" t="s">
        <v>373</v>
      </c>
      <c r="F732" s="71" t="s">
        <v>508</v>
      </c>
      <c r="G732" s="71" t="s">
        <v>1057</v>
      </c>
      <c r="H732" s="71" t="s">
        <v>406</v>
      </c>
      <c r="I732" s="71" t="s">
        <v>1064</v>
      </c>
    </row>
    <row r="733" spans="1:9" ht="43.5" x14ac:dyDescent="0.35">
      <c r="A733" s="195">
        <v>5</v>
      </c>
      <c r="B733" s="195">
        <v>84</v>
      </c>
      <c r="C733" s="195" t="s">
        <v>1142</v>
      </c>
      <c r="D733" s="64">
        <v>17100</v>
      </c>
      <c r="E733" s="195" t="s">
        <v>366</v>
      </c>
      <c r="F733" s="71" t="s">
        <v>508</v>
      </c>
      <c r="G733" s="71" t="s">
        <v>1057</v>
      </c>
      <c r="H733" s="71" t="s">
        <v>415</v>
      </c>
      <c r="I733" s="71" t="s">
        <v>1054</v>
      </c>
    </row>
    <row r="734" spans="1:9" ht="43.5" x14ac:dyDescent="0.35">
      <c r="A734" s="195">
        <v>5</v>
      </c>
      <c r="B734" s="195">
        <v>85</v>
      </c>
      <c r="C734" s="195" t="s">
        <v>1143</v>
      </c>
      <c r="D734" s="64">
        <v>1345</v>
      </c>
      <c r="E734" s="195" t="s">
        <v>373</v>
      </c>
      <c r="F734" s="71" t="s">
        <v>508</v>
      </c>
      <c r="G734" s="71" t="s">
        <v>1057</v>
      </c>
      <c r="H734" s="71" t="s">
        <v>415</v>
      </c>
      <c r="I734" s="71" t="s">
        <v>1060</v>
      </c>
    </row>
    <row r="735" spans="1:9" ht="43.5" x14ac:dyDescent="0.35">
      <c r="A735" s="195">
        <v>5</v>
      </c>
      <c r="B735" s="195">
        <v>86</v>
      </c>
      <c r="C735" s="195" t="s">
        <v>1144</v>
      </c>
      <c r="D735" s="64">
        <v>1615</v>
      </c>
      <c r="E735" s="195" t="s">
        <v>373</v>
      </c>
      <c r="F735" s="71" t="s">
        <v>508</v>
      </c>
      <c r="G735" s="71" t="s">
        <v>1057</v>
      </c>
      <c r="H735" s="71" t="s">
        <v>415</v>
      </c>
      <c r="I735" s="71" t="s">
        <v>1062</v>
      </c>
    </row>
    <row r="736" spans="1:9" ht="43.5" x14ac:dyDescent="0.35">
      <c r="A736" s="195">
        <v>5</v>
      </c>
      <c r="B736" s="195">
        <v>87</v>
      </c>
      <c r="C736" s="195" t="s">
        <v>1145</v>
      </c>
      <c r="D736" s="64">
        <v>14140</v>
      </c>
      <c r="E736" s="195" t="s">
        <v>373</v>
      </c>
      <c r="F736" s="71" t="s">
        <v>508</v>
      </c>
      <c r="G736" s="71" t="s">
        <v>1057</v>
      </c>
      <c r="H736" s="71" t="s">
        <v>415</v>
      </c>
      <c r="I736" s="71" t="s">
        <v>1064</v>
      </c>
    </row>
    <row r="737" spans="1:9" ht="29" x14ac:dyDescent="0.35">
      <c r="A737" s="195">
        <v>5</v>
      </c>
      <c r="B737" s="195">
        <v>88</v>
      </c>
      <c r="C737" s="195" t="s">
        <v>1146</v>
      </c>
      <c r="D737" s="64">
        <v>397305</v>
      </c>
      <c r="E737" s="195" t="s">
        <v>366</v>
      </c>
      <c r="F737" s="71" t="s">
        <v>508</v>
      </c>
      <c r="G737" s="71" t="s">
        <v>1082</v>
      </c>
      <c r="H737" s="71" t="s">
        <v>363</v>
      </c>
      <c r="I737" s="71" t="s">
        <v>1054</v>
      </c>
    </row>
    <row r="738" spans="1:9" ht="29" x14ac:dyDescent="0.35">
      <c r="A738" s="195">
        <v>5</v>
      </c>
      <c r="B738" s="195">
        <v>89</v>
      </c>
      <c r="C738" s="195" t="s">
        <v>1147</v>
      </c>
      <c r="D738" s="64">
        <v>29680</v>
      </c>
      <c r="E738" s="195" t="s">
        <v>366</v>
      </c>
      <c r="F738" s="71" t="s">
        <v>508</v>
      </c>
      <c r="G738" s="71" t="s">
        <v>1082</v>
      </c>
      <c r="H738" s="71" t="s">
        <v>371</v>
      </c>
      <c r="I738" s="71" t="s">
        <v>1054</v>
      </c>
    </row>
    <row r="739" spans="1:9" ht="43.5" x14ac:dyDescent="0.35">
      <c r="A739" s="195">
        <v>5</v>
      </c>
      <c r="B739" s="195">
        <v>90</v>
      </c>
      <c r="C739" s="195" t="s">
        <v>1148</v>
      </c>
      <c r="D739" s="64">
        <v>8875</v>
      </c>
      <c r="E739" s="195" t="s">
        <v>373</v>
      </c>
      <c r="F739" s="71" t="s">
        <v>508</v>
      </c>
      <c r="G739" s="71" t="s">
        <v>1082</v>
      </c>
      <c r="H739" s="71" t="s">
        <v>371</v>
      </c>
      <c r="I739" s="71" t="s">
        <v>1060</v>
      </c>
    </row>
    <row r="740" spans="1:9" ht="29" x14ac:dyDescent="0.35">
      <c r="A740" s="195">
        <v>5</v>
      </c>
      <c r="B740" s="195">
        <v>91</v>
      </c>
      <c r="C740" s="195" t="s">
        <v>1149</v>
      </c>
      <c r="D740" s="64">
        <v>7465</v>
      </c>
      <c r="E740" s="195" t="s">
        <v>373</v>
      </c>
      <c r="F740" s="71" t="s">
        <v>508</v>
      </c>
      <c r="G740" s="71" t="s">
        <v>1082</v>
      </c>
      <c r="H740" s="71" t="s">
        <v>371</v>
      </c>
      <c r="I740" s="71" t="s">
        <v>1062</v>
      </c>
    </row>
    <row r="741" spans="1:9" ht="29" x14ac:dyDescent="0.35">
      <c r="A741" s="195">
        <v>5</v>
      </c>
      <c r="B741" s="195">
        <v>92</v>
      </c>
      <c r="C741" s="195" t="s">
        <v>1150</v>
      </c>
      <c r="D741" s="64">
        <v>13340</v>
      </c>
      <c r="E741" s="195" t="s">
        <v>373</v>
      </c>
      <c r="F741" s="71" t="s">
        <v>508</v>
      </c>
      <c r="G741" s="71" t="s">
        <v>1082</v>
      </c>
      <c r="H741" s="71" t="s">
        <v>371</v>
      </c>
      <c r="I741" s="71" t="s">
        <v>1064</v>
      </c>
    </row>
    <row r="742" spans="1:9" ht="43.5" x14ac:dyDescent="0.35">
      <c r="A742" s="195">
        <v>5</v>
      </c>
      <c r="B742" s="195">
        <v>93</v>
      </c>
      <c r="C742" s="195" t="s">
        <v>1151</v>
      </c>
      <c r="D742" s="64">
        <v>28805</v>
      </c>
      <c r="E742" s="195" t="s">
        <v>366</v>
      </c>
      <c r="F742" s="71" t="s">
        <v>508</v>
      </c>
      <c r="G742" s="71" t="s">
        <v>1082</v>
      </c>
      <c r="H742" s="71" t="s">
        <v>388</v>
      </c>
      <c r="I742" s="71" t="s">
        <v>1054</v>
      </c>
    </row>
    <row r="743" spans="1:9" ht="43.5" x14ac:dyDescent="0.35">
      <c r="A743" s="195">
        <v>5</v>
      </c>
      <c r="B743" s="195">
        <v>94</v>
      </c>
      <c r="C743" s="195" t="s">
        <v>1152</v>
      </c>
      <c r="D743" s="64">
        <v>5555</v>
      </c>
      <c r="E743" s="195" t="s">
        <v>373</v>
      </c>
      <c r="F743" s="71" t="s">
        <v>508</v>
      </c>
      <c r="G743" s="71" t="s">
        <v>1082</v>
      </c>
      <c r="H743" s="71" t="s">
        <v>388</v>
      </c>
      <c r="I743" s="71" t="s">
        <v>1060</v>
      </c>
    </row>
    <row r="744" spans="1:9" ht="43.5" x14ac:dyDescent="0.35">
      <c r="A744" s="195">
        <v>5</v>
      </c>
      <c r="B744" s="195">
        <v>95</v>
      </c>
      <c r="C744" s="195" t="s">
        <v>1153</v>
      </c>
      <c r="D744" s="64">
        <v>3520</v>
      </c>
      <c r="E744" s="195" t="s">
        <v>373</v>
      </c>
      <c r="F744" s="71" t="s">
        <v>508</v>
      </c>
      <c r="G744" s="71" t="s">
        <v>1082</v>
      </c>
      <c r="H744" s="71" t="s">
        <v>388</v>
      </c>
      <c r="I744" s="71" t="s">
        <v>1062</v>
      </c>
    </row>
    <row r="745" spans="1:9" ht="43.5" x14ac:dyDescent="0.35">
      <c r="A745" s="195">
        <v>5</v>
      </c>
      <c r="B745" s="195">
        <v>96</v>
      </c>
      <c r="C745" s="195" t="s">
        <v>1154</v>
      </c>
      <c r="D745" s="64">
        <v>19725</v>
      </c>
      <c r="E745" s="195" t="s">
        <v>373</v>
      </c>
      <c r="F745" s="71" t="s">
        <v>508</v>
      </c>
      <c r="G745" s="71" t="s">
        <v>1082</v>
      </c>
      <c r="H745" s="71" t="s">
        <v>388</v>
      </c>
      <c r="I745" s="71" t="s">
        <v>1064</v>
      </c>
    </row>
    <row r="746" spans="1:9" ht="43.5" x14ac:dyDescent="0.35">
      <c r="A746" s="195">
        <v>5</v>
      </c>
      <c r="B746" s="195">
        <v>97</v>
      </c>
      <c r="C746" s="195" t="s">
        <v>1155</v>
      </c>
      <c r="D746" s="64">
        <v>89840</v>
      </c>
      <c r="E746" s="195" t="s">
        <v>366</v>
      </c>
      <c r="F746" s="71" t="s">
        <v>508</v>
      </c>
      <c r="G746" s="71" t="s">
        <v>1082</v>
      </c>
      <c r="H746" s="71" t="s">
        <v>397</v>
      </c>
      <c r="I746" s="71" t="s">
        <v>1054</v>
      </c>
    </row>
    <row r="747" spans="1:9" ht="43.5" x14ac:dyDescent="0.35">
      <c r="A747" s="195">
        <v>5</v>
      </c>
      <c r="B747" s="195">
        <v>98</v>
      </c>
      <c r="C747" s="195" t="s">
        <v>1156</v>
      </c>
      <c r="D747" s="64">
        <v>10650</v>
      </c>
      <c r="E747" s="195" t="s">
        <v>373</v>
      </c>
      <c r="F747" s="71" t="s">
        <v>508</v>
      </c>
      <c r="G747" s="71" t="s">
        <v>1082</v>
      </c>
      <c r="H747" s="71" t="s">
        <v>397</v>
      </c>
      <c r="I747" s="71" t="s">
        <v>1060</v>
      </c>
    </row>
    <row r="748" spans="1:9" ht="43.5" x14ac:dyDescent="0.35">
      <c r="A748" s="195">
        <v>5</v>
      </c>
      <c r="B748" s="195">
        <v>99</v>
      </c>
      <c r="C748" s="195" t="s">
        <v>1157</v>
      </c>
      <c r="D748" s="64">
        <v>4235</v>
      </c>
      <c r="E748" s="195" t="s">
        <v>373</v>
      </c>
      <c r="F748" s="71" t="s">
        <v>508</v>
      </c>
      <c r="G748" s="71" t="s">
        <v>1082</v>
      </c>
      <c r="H748" s="71" t="s">
        <v>397</v>
      </c>
      <c r="I748" s="71" t="s">
        <v>1062</v>
      </c>
    </row>
    <row r="749" spans="1:9" ht="43.5" x14ac:dyDescent="0.35">
      <c r="A749" s="195">
        <v>5</v>
      </c>
      <c r="B749" s="195">
        <v>100</v>
      </c>
      <c r="C749" s="195" t="s">
        <v>1158</v>
      </c>
      <c r="D749" s="64">
        <v>74955</v>
      </c>
      <c r="E749" s="195" t="s">
        <v>373</v>
      </c>
      <c r="F749" s="71" t="s">
        <v>508</v>
      </c>
      <c r="G749" s="71" t="s">
        <v>1082</v>
      </c>
      <c r="H749" s="71" t="s">
        <v>397</v>
      </c>
      <c r="I749" s="71" t="s">
        <v>1064</v>
      </c>
    </row>
    <row r="750" spans="1:9" ht="43.5" x14ac:dyDescent="0.35">
      <c r="A750" s="195">
        <v>5</v>
      </c>
      <c r="B750" s="195">
        <v>101</v>
      </c>
      <c r="C750" s="195" t="s">
        <v>1159</v>
      </c>
      <c r="D750" s="64">
        <v>57155</v>
      </c>
      <c r="E750" s="195" t="s">
        <v>366</v>
      </c>
      <c r="F750" s="71" t="s">
        <v>508</v>
      </c>
      <c r="G750" s="71" t="s">
        <v>1082</v>
      </c>
      <c r="H750" s="71" t="s">
        <v>406</v>
      </c>
      <c r="I750" s="71" t="s">
        <v>1054</v>
      </c>
    </row>
    <row r="751" spans="1:9" ht="43.5" x14ac:dyDescent="0.35">
      <c r="A751" s="195">
        <v>5</v>
      </c>
      <c r="B751" s="195">
        <v>102</v>
      </c>
      <c r="C751" s="195" t="s">
        <v>1160</v>
      </c>
      <c r="D751" s="64">
        <v>5195</v>
      </c>
      <c r="E751" s="195" t="s">
        <v>373</v>
      </c>
      <c r="F751" s="71" t="s">
        <v>508</v>
      </c>
      <c r="G751" s="71" t="s">
        <v>1082</v>
      </c>
      <c r="H751" s="71" t="s">
        <v>406</v>
      </c>
      <c r="I751" s="71" t="s">
        <v>1060</v>
      </c>
    </row>
    <row r="752" spans="1:9" ht="43.5" x14ac:dyDescent="0.35">
      <c r="A752" s="195">
        <v>5</v>
      </c>
      <c r="B752" s="195">
        <v>103</v>
      </c>
      <c r="C752" s="195" t="s">
        <v>1161</v>
      </c>
      <c r="D752" s="64">
        <v>1515</v>
      </c>
      <c r="E752" s="195" t="s">
        <v>373</v>
      </c>
      <c r="F752" s="71" t="s">
        <v>508</v>
      </c>
      <c r="G752" s="71" t="s">
        <v>1082</v>
      </c>
      <c r="H752" s="71" t="s">
        <v>406</v>
      </c>
      <c r="I752" s="71" t="s">
        <v>1062</v>
      </c>
    </row>
    <row r="753" spans="1:9" ht="43.5" x14ac:dyDescent="0.35">
      <c r="A753" s="195">
        <v>5</v>
      </c>
      <c r="B753" s="195">
        <v>104</v>
      </c>
      <c r="C753" s="195" t="s">
        <v>1162</v>
      </c>
      <c r="D753" s="64">
        <v>50445</v>
      </c>
      <c r="E753" s="195" t="s">
        <v>373</v>
      </c>
      <c r="F753" s="71" t="s">
        <v>508</v>
      </c>
      <c r="G753" s="71" t="s">
        <v>1082</v>
      </c>
      <c r="H753" s="71" t="s">
        <v>406</v>
      </c>
      <c r="I753" s="71" t="s">
        <v>1064</v>
      </c>
    </row>
    <row r="754" spans="1:9" ht="29" x14ac:dyDescent="0.35">
      <c r="A754" s="195">
        <v>5</v>
      </c>
      <c r="B754" s="195">
        <v>105</v>
      </c>
      <c r="C754" s="195" t="s">
        <v>1163</v>
      </c>
      <c r="D754" s="64">
        <v>191820</v>
      </c>
      <c r="E754" s="195" t="s">
        <v>366</v>
      </c>
      <c r="F754" s="71" t="s">
        <v>508</v>
      </c>
      <c r="G754" s="71" t="s">
        <v>1082</v>
      </c>
      <c r="H754" s="71" t="s">
        <v>415</v>
      </c>
      <c r="I754" s="71" t="s">
        <v>1054</v>
      </c>
    </row>
    <row r="755" spans="1:9" ht="43.5" x14ac:dyDescent="0.35">
      <c r="A755" s="195">
        <v>5</v>
      </c>
      <c r="B755" s="195">
        <v>106</v>
      </c>
      <c r="C755" s="195" t="s">
        <v>1164</v>
      </c>
      <c r="D755" s="64">
        <v>13180</v>
      </c>
      <c r="E755" s="195" t="s">
        <v>373</v>
      </c>
      <c r="F755" s="71" t="s">
        <v>508</v>
      </c>
      <c r="G755" s="71" t="s">
        <v>1082</v>
      </c>
      <c r="H755" s="71" t="s">
        <v>415</v>
      </c>
      <c r="I755" s="71" t="s">
        <v>1060</v>
      </c>
    </row>
    <row r="756" spans="1:9" ht="29" x14ac:dyDescent="0.35">
      <c r="A756" s="195">
        <v>5</v>
      </c>
      <c r="B756" s="195">
        <v>107</v>
      </c>
      <c r="C756" s="195" t="s">
        <v>1165</v>
      </c>
      <c r="D756" s="64">
        <v>4070</v>
      </c>
      <c r="E756" s="195" t="s">
        <v>373</v>
      </c>
      <c r="F756" s="71" t="s">
        <v>508</v>
      </c>
      <c r="G756" s="71" t="s">
        <v>1082</v>
      </c>
      <c r="H756" s="71" t="s">
        <v>415</v>
      </c>
      <c r="I756" s="71" t="s">
        <v>1062</v>
      </c>
    </row>
    <row r="757" spans="1:9" ht="29" x14ac:dyDescent="0.35">
      <c r="A757" s="195">
        <v>5</v>
      </c>
      <c r="B757" s="195">
        <v>108</v>
      </c>
      <c r="C757" s="195" t="s">
        <v>1166</v>
      </c>
      <c r="D757" s="64">
        <v>174575</v>
      </c>
      <c r="E757" s="195" t="s">
        <v>373</v>
      </c>
      <c r="F757" s="71" t="s">
        <v>508</v>
      </c>
      <c r="G757" s="71" t="s">
        <v>1082</v>
      </c>
      <c r="H757" s="71" t="s">
        <v>415</v>
      </c>
      <c r="I757" s="71" t="s">
        <v>1064</v>
      </c>
    </row>
    <row r="758" spans="1:9" ht="58" x14ac:dyDescent="0.35">
      <c r="A758" s="195">
        <v>5</v>
      </c>
      <c r="B758" s="195">
        <v>109</v>
      </c>
      <c r="C758" s="195" t="s">
        <v>1167</v>
      </c>
      <c r="D758" s="64">
        <v>29870</v>
      </c>
      <c r="E758" s="195" t="s">
        <v>366</v>
      </c>
      <c r="F758" s="71" t="s">
        <v>508</v>
      </c>
      <c r="G758" s="71" t="s">
        <v>1013</v>
      </c>
      <c r="H758" s="71" t="s">
        <v>363</v>
      </c>
      <c r="I758" s="71" t="s">
        <v>1054</v>
      </c>
    </row>
    <row r="759" spans="1:9" ht="58" x14ac:dyDescent="0.35">
      <c r="A759" s="195">
        <v>5</v>
      </c>
      <c r="B759" s="195">
        <v>110</v>
      </c>
      <c r="C759" s="195" t="s">
        <v>1168</v>
      </c>
      <c r="D759" s="64">
        <v>29870</v>
      </c>
      <c r="E759" s="195" t="s">
        <v>366</v>
      </c>
      <c r="F759" s="71" t="s">
        <v>508</v>
      </c>
      <c r="G759" s="71" t="s">
        <v>1013</v>
      </c>
      <c r="H759" s="71" t="s">
        <v>371</v>
      </c>
      <c r="I759" s="71" t="s">
        <v>1054</v>
      </c>
    </row>
    <row r="760" spans="1:9" ht="58" x14ac:dyDescent="0.35">
      <c r="A760" s="195">
        <v>5</v>
      </c>
      <c r="B760" s="195">
        <v>111</v>
      </c>
      <c r="C760" s="195" t="s">
        <v>1169</v>
      </c>
      <c r="D760" s="64">
        <v>2225</v>
      </c>
      <c r="E760" s="195" t="s">
        <v>373</v>
      </c>
      <c r="F760" s="71" t="s">
        <v>508</v>
      </c>
      <c r="G760" s="71" t="s">
        <v>1013</v>
      </c>
      <c r="H760" s="71" t="s">
        <v>371</v>
      </c>
      <c r="I760" s="71" t="s">
        <v>1060</v>
      </c>
    </row>
    <row r="761" spans="1:9" ht="58" x14ac:dyDescent="0.35">
      <c r="A761" s="195">
        <v>5</v>
      </c>
      <c r="B761" s="195">
        <v>112</v>
      </c>
      <c r="C761" s="195" t="s">
        <v>1170</v>
      </c>
      <c r="D761" s="64">
        <v>1395</v>
      </c>
      <c r="E761" s="195" t="s">
        <v>373</v>
      </c>
      <c r="F761" s="71" t="s">
        <v>508</v>
      </c>
      <c r="G761" s="71" t="s">
        <v>1013</v>
      </c>
      <c r="H761" s="71" t="s">
        <v>371</v>
      </c>
      <c r="I761" s="71" t="s">
        <v>1062</v>
      </c>
    </row>
    <row r="762" spans="1:9" ht="58" x14ac:dyDescent="0.35">
      <c r="A762" s="195">
        <v>5</v>
      </c>
      <c r="B762" s="195">
        <v>113</v>
      </c>
      <c r="C762" s="195" t="s">
        <v>1171</v>
      </c>
      <c r="D762" s="64">
        <v>26250</v>
      </c>
      <c r="E762" s="195" t="s">
        <v>373</v>
      </c>
      <c r="F762" s="71" t="s">
        <v>508</v>
      </c>
      <c r="G762" s="71" t="s">
        <v>1013</v>
      </c>
      <c r="H762" s="71" t="s">
        <v>371</v>
      </c>
      <c r="I762" s="71" t="s">
        <v>1064</v>
      </c>
    </row>
    <row r="763" spans="1:9" ht="58" x14ac:dyDescent="0.35">
      <c r="A763" s="195">
        <v>5</v>
      </c>
      <c r="B763" s="195">
        <v>114</v>
      </c>
      <c r="C763" s="195" t="s">
        <v>1172</v>
      </c>
      <c r="D763" s="195">
        <v>0</v>
      </c>
      <c r="E763" s="195" t="s">
        <v>366</v>
      </c>
      <c r="F763" s="71" t="s">
        <v>508</v>
      </c>
      <c r="G763" s="71" t="s">
        <v>1013</v>
      </c>
      <c r="H763" s="71" t="s">
        <v>388</v>
      </c>
      <c r="I763" s="71" t="s">
        <v>1054</v>
      </c>
    </row>
    <row r="764" spans="1:9" ht="58" x14ac:dyDescent="0.35">
      <c r="A764" s="195">
        <v>5</v>
      </c>
      <c r="B764" s="195">
        <v>115</v>
      </c>
      <c r="C764" s="195" t="s">
        <v>1173</v>
      </c>
      <c r="D764" s="195">
        <v>0</v>
      </c>
      <c r="E764" s="195" t="s">
        <v>373</v>
      </c>
      <c r="F764" s="71" t="s">
        <v>508</v>
      </c>
      <c r="G764" s="71" t="s">
        <v>1013</v>
      </c>
      <c r="H764" s="71" t="s">
        <v>388</v>
      </c>
      <c r="I764" s="71" t="s">
        <v>1060</v>
      </c>
    </row>
    <row r="765" spans="1:9" ht="58" x14ac:dyDescent="0.35">
      <c r="A765" s="195">
        <v>5</v>
      </c>
      <c r="B765" s="195">
        <v>116</v>
      </c>
      <c r="C765" s="195" t="s">
        <v>1174</v>
      </c>
      <c r="D765" s="195">
        <v>0</v>
      </c>
      <c r="E765" s="195" t="s">
        <v>373</v>
      </c>
      <c r="F765" s="71" t="s">
        <v>508</v>
      </c>
      <c r="G765" s="71" t="s">
        <v>1013</v>
      </c>
      <c r="H765" s="71" t="s">
        <v>388</v>
      </c>
      <c r="I765" s="71" t="s">
        <v>1062</v>
      </c>
    </row>
    <row r="766" spans="1:9" ht="58" x14ac:dyDescent="0.35">
      <c r="A766" s="195">
        <v>5</v>
      </c>
      <c r="B766" s="195">
        <v>117</v>
      </c>
      <c r="C766" s="195" t="s">
        <v>1175</v>
      </c>
      <c r="D766" s="195">
        <v>0</v>
      </c>
      <c r="E766" s="195" t="s">
        <v>373</v>
      </c>
      <c r="F766" s="71" t="s">
        <v>508</v>
      </c>
      <c r="G766" s="71" t="s">
        <v>1013</v>
      </c>
      <c r="H766" s="71" t="s">
        <v>388</v>
      </c>
      <c r="I766" s="71" t="s">
        <v>1064</v>
      </c>
    </row>
    <row r="767" spans="1:9" ht="58" x14ac:dyDescent="0.35">
      <c r="A767" s="195">
        <v>5</v>
      </c>
      <c r="B767" s="195">
        <v>118</v>
      </c>
      <c r="C767" s="195" t="s">
        <v>1176</v>
      </c>
      <c r="D767" s="195">
        <v>0</v>
      </c>
      <c r="E767" s="195" t="s">
        <v>366</v>
      </c>
      <c r="F767" s="71" t="s">
        <v>508</v>
      </c>
      <c r="G767" s="71" t="s">
        <v>1013</v>
      </c>
      <c r="H767" s="71" t="s">
        <v>397</v>
      </c>
      <c r="I767" s="71" t="s">
        <v>1054</v>
      </c>
    </row>
    <row r="768" spans="1:9" ht="58" x14ac:dyDescent="0.35">
      <c r="A768" s="195">
        <v>5</v>
      </c>
      <c r="B768" s="195">
        <v>119</v>
      </c>
      <c r="C768" s="195" t="s">
        <v>1177</v>
      </c>
      <c r="D768" s="195">
        <v>0</v>
      </c>
      <c r="E768" s="195" t="s">
        <v>373</v>
      </c>
      <c r="F768" s="71" t="s">
        <v>508</v>
      </c>
      <c r="G768" s="71" t="s">
        <v>1013</v>
      </c>
      <c r="H768" s="71" t="s">
        <v>397</v>
      </c>
      <c r="I768" s="71" t="s">
        <v>1060</v>
      </c>
    </row>
    <row r="769" spans="1:9" ht="58" x14ac:dyDescent="0.35">
      <c r="A769" s="195">
        <v>5</v>
      </c>
      <c r="B769" s="195">
        <v>120</v>
      </c>
      <c r="C769" s="195" t="s">
        <v>1178</v>
      </c>
      <c r="D769" s="195">
        <v>0</v>
      </c>
      <c r="E769" s="195" t="s">
        <v>373</v>
      </c>
      <c r="F769" s="71" t="s">
        <v>508</v>
      </c>
      <c r="G769" s="71" t="s">
        <v>1013</v>
      </c>
      <c r="H769" s="71" t="s">
        <v>397</v>
      </c>
      <c r="I769" s="71" t="s">
        <v>1062</v>
      </c>
    </row>
    <row r="770" spans="1:9" ht="58" x14ac:dyDescent="0.35">
      <c r="A770" s="195">
        <v>5</v>
      </c>
      <c r="B770" s="195">
        <v>121</v>
      </c>
      <c r="C770" s="195" t="s">
        <v>1179</v>
      </c>
      <c r="D770" s="195">
        <v>0</v>
      </c>
      <c r="E770" s="195" t="s">
        <v>373</v>
      </c>
      <c r="F770" s="71" t="s">
        <v>508</v>
      </c>
      <c r="G770" s="71" t="s">
        <v>1013</v>
      </c>
      <c r="H770" s="71" t="s">
        <v>397</v>
      </c>
      <c r="I770" s="71" t="s">
        <v>1064</v>
      </c>
    </row>
    <row r="771" spans="1:9" ht="58" x14ac:dyDescent="0.35">
      <c r="A771" s="195">
        <v>5</v>
      </c>
      <c r="B771" s="195">
        <v>122</v>
      </c>
      <c r="C771" s="195" t="s">
        <v>1180</v>
      </c>
      <c r="D771" s="195">
        <v>0</v>
      </c>
      <c r="E771" s="195" t="s">
        <v>366</v>
      </c>
      <c r="F771" s="71" t="s">
        <v>508</v>
      </c>
      <c r="G771" s="71" t="s">
        <v>1013</v>
      </c>
      <c r="H771" s="71" t="s">
        <v>406</v>
      </c>
      <c r="I771" s="71" t="s">
        <v>1054</v>
      </c>
    </row>
    <row r="772" spans="1:9" ht="58" x14ac:dyDescent="0.35">
      <c r="A772" s="195">
        <v>5</v>
      </c>
      <c r="B772" s="195">
        <v>123</v>
      </c>
      <c r="C772" s="195" t="s">
        <v>1181</v>
      </c>
      <c r="D772" s="195">
        <v>0</v>
      </c>
      <c r="E772" s="195" t="s">
        <v>373</v>
      </c>
      <c r="F772" s="71" t="s">
        <v>508</v>
      </c>
      <c r="G772" s="71" t="s">
        <v>1013</v>
      </c>
      <c r="H772" s="71" t="s">
        <v>406</v>
      </c>
      <c r="I772" s="71" t="s">
        <v>1060</v>
      </c>
    </row>
    <row r="773" spans="1:9" ht="58" x14ac:dyDescent="0.35">
      <c r="A773" s="195">
        <v>5</v>
      </c>
      <c r="B773" s="195">
        <v>124</v>
      </c>
      <c r="C773" s="195" t="s">
        <v>1182</v>
      </c>
      <c r="D773" s="195">
        <v>0</v>
      </c>
      <c r="E773" s="195" t="s">
        <v>373</v>
      </c>
      <c r="F773" s="71" t="s">
        <v>508</v>
      </c>
      <c r="G773" s="71" t="s">
        <v>1013</v>
      </c>
      <c r="H773" s="71" t="s">
        <v>406</v>
      </c>
      <c r="I773" s="71" t="s">
        <v>1062</v>
      </c>
    </row>
    <row r="774" spans="1:9" ht="58" x14ac:dyDescent="0.35">
      <c r="A774" s="195">
        <v>5</v>
      </c>
      <c r="B774" s="195">
        <v>125</v>
      </c>
      <c r="C774" s="195" t="s">
        <v>1183</v>
      </c>
      <c r="D774" s="195">
        <v>0</v>
      </c>
      <c r="E774" s="195" t="s">
        <v>373</v>
      </c>
      <c r="F774" s="71" t="s">
        <v>508</v>
      </c>
      <c r="G774" s="71" t="s">
        <v>1013</v>
      </c>
      <c r="H774" s="71" t="s">
        <v>406</v>
      </c>
      <c r="I774" s="71" t="s">
        <v>1064</v>
      </c>
    </row>
    <row r="775" spans="1:9" ht="58" x14ac:dyDescent="0.35">
      <c r="A775" s="195">
        <v>5</v>
      </c>
      <c r="B775" s="195">
        <v>126</v>
      </c>
      <c r="C775" s="195" t="s">
        <v>1184</v>
      </c>
      <c r="D775" s="195">
        <v>0</v>
      </c>
      <c r="E775" s="195" t="s">
        <v>366</v>
      </c>
      <c r="F775" s="71" t="s">
        <v>508</v>
      </c>
      <c r="G775" s="71" t="s">
        <v>1013</v>
      </c>
      <c r="H775" s="71" t="s">
        <v>415</v>
      </c>
      <c r="I775" s="71" t="s">
        <v>1054</v>
      </c>
    </row>
    <row r="776" spans="1:9" ht="58" x14ac:dyDescent="0.35">
      <c r="A776" s="195">
        <v>5</v>
      </c>
      <c r="B776" s="195">
        <v>127</v>
      </c>
      <c r="C776" s="195" t="s">
        <v>1185</v>
      </c>
      <c r="D776" s="195">
        <v>0</v>
      </c>
      <c r="E776" s="195" t="s">
        <v>373</v>
      </c>
      <c r="F776" s="71" t="s">
        <v>508</v>
      </c>
      <c r="G776" s="71" t="s">
        <v>1013</v>
      </c>
      <c r="H776" s="71" t="s">
        <v>415</v>
      </c>
      <c r="I776" s="71" t="s">
        <v>1060</v>
      </c>
    </row>
    <row r="777" spans="1:9" ht="58" x14ac:dyDescent="0.35">
      <c r="A777" s="195">
        <v>5</v>
      </c>
      <c r="B777" s="195">
        <v>128</v>
      </c>
      <c r="C777" s="195" t="s">
        <v>1186</v>
      </c>
      <c r="D777" s="195">
        <v>0</v>
      </c>
      <c r="E777" s="195" t="s">
        <v>373</v>
      </c>
      <c r="F777" s="71" t="s">
        <v>508</v>
      </c>
      <c r="G777" s="71" t="s">
        <v>1013</v>
      </c>
      <c r="H777" s="71" t="s">
        <v>415</v>
      </c>
      <c r="I777" s="71" t="s">
        <v>1062</v>
      </c>
    </row>
    <row r="778" spans="1:9" ht="58" x14ac:dyDescent="0.35">
      <c r="A778" s="195">
        <v>5</v>
      </c>
      <c r="B778" s="195">
        <v>129</v>
      </c>
      <c r="C778" s="195" t="s">
        <v>1187</v>
      </c>
      <c r="D778" s="195">
        <v>0</v>
      </c>
      <c r="E778" s="195" t="s">
        <v>373</v>
      </c>
      <c r="F778" s="71" t="s">
        <v>508</v>
      </c>
      <c r="G778" s="71" t="s">
        <v>1013</v>
      </c>
      <c r="H778" s="71" t="s">
        <v>415</v>
      </c>
      <c r="I778" s="71" t="s">
        <v>1064</v>
      </c>
    </row>
    <row r="779" spans="1:9" x14ac:dyDescent="0.35">
      <c r="A779" s="195">
        <v>6</v>
      </c>
      <c r="B779" s="195">
        <v>1</v>
      </c>
      <c r="C779" s="195" t="s">
        <v>1188</v>
      </c>
      <c r="D779" s="64">
        <v>1951605</v>
      </c>
      <c r="E779" s="195" t="s">
        <v>26</v>
      </c>
      <c r="F779" s="71" t="s">
        <v>1189</v>
      </c>
      <c r="G779" s="71" t="s">
        <v>1190</v>
      </c>
      <c r="H779" s="71" t="s">
        <v>363</v>
      </c>
      <c r="I779" s="71" t="s">
        <v>362</v>
      </c>
    </row>
    <row r="780" spans="1:9" ht="43.5" x14ac:dyDescent="0.35">
      <c r="A780" s="195">
        <v>6</v>
      </c>
      <c r="B780" s="195">
        <v>2</v>
      </c>
      <c r="C780" s="195" t="s">
        <v>1191</v>
      </c>
      <c r="D780" s="64">
        <v>169730</v>
      </c>
      <c r="E780" s="195" t="s">
        <v>1192</v>
      </c>
      <c r="F780" s="71" t="s">
        <v>1193</v>
      </c>
      <c r="G780" s="71" t="s">
        <v>1194</v>
      </c>
      <c r="H780" s="71" t="s">
        <v>363</v>
      </c>
      <c r="I780" s="71" t="s">
        <v>362</v>
      </c>
    </row>
    <row r="781" spans="1:9" ht="43.5" x14ac:dyDescent="0.35">
      <c r="A781" s="195">
        <v>6</v>
      </c>
      <c r="B781" s="195">
        <v>3</v>
      </c>
      <c r="C781" s="195" t="s">
        <v>1195</v>
      </c>
      <c r="D781" s="64">
        <v>44935</v>
      </c>
      <c r="E781" s="195" t="s">
        <v>1192</v>
      </c>
      <c r="F781" s="71" t="s">
        <v>1193</v>
      </c>
      <c r="G781" s="71" t="s">
        <v>1194</v>
      </c>
      <c r="H781" s="71" t="s">
        <v>1196</v>
      </c>
      <c r="I781" s="71" t="s">
        <v>362</v>
      </c>
    </row>
    <row r="782" spans="1:9" ht="43.5" x14ac:dyDescent="0.35">
      <c r="A782" s="195">
        <v>6</v>
      </c>
      <c r="B782" s="195">
        <v>4</v>
      </c>
      <c r="C782" s="195" t="s">
        <v>1197</v>
      </c>
      <c r="D782" s="64">
        <v>35280</v>
      </c>
      <c r="E782" s="195" t="s">
        <v>1192</v>
      </c>
      <c r="F782" s="71" t="s">
        <v>1193</v>
      </c>
      <c r="G782" s="71" t="s">
        <v>1194</v>
      </c>
      <c r="H782" s="71" t="s">
        <v>1196</v>
      </c>
      <c r="I782" s="71" t="s">
        <v>1057</v>
      </c>
    </row>
    <row r="783" spans="1:9" ht="43.5" x14ac:dyDescent="0.35">
      <c r="A783" s="195">
        <v>6</v>
      </c>
      <c r="B783" s="195">
        <v>5</v>
      </c>
      <c r="C783" s="195" t="s">
        <v>1198</v>
      </c>
      <c r="D783" s="64">
        <v>7245</v>
      </c>
      <c r="E783" s="195" t="s">
        <v>1192</v>
      </c>
      <c r="F783" s="71" t="s">
        <v>1193</v>
      </c>
      <c r="G783" s="71" t="s">
        <v>1194</v>
      </c>
      <c r="H783" s="71" t="s">
        <v>1196</v>
      </c>
      <c r="I783" s="71" t="s">
        <v>1082</v>
      </c>
    </row>
    <row r="784" spans="1:9" ht="58" x14ac:dyDescent="0.35">
      <c r="A784" s="195">
        <v>6</v>
      </c>
      <c r="B784" s="195">
        <v>6</v>
      </c>
      <c r="C784" s="195" t="s">
        <v>1199</v>
      </c>
      <c r="D784" s="64">
        <v>2410</v>
      </c>
      <c r="E784" s="195" t="s">
        <v>1192</v>
      </c>
      <c r="F784" s="71" t="s">
        <v>1193</v>
      </c>
      <c r="G784" s="71" t="s">
        <v>1194</v>
      </c>
      <c r="H784" s="71" t="s">
        <v>1196</v>
      </c>
      <c r="I784" s="71" t="s">
        <v>1013</v>
      </c>
    </row>
    <row r="785" spans="1:9" ht="43.5" x14ac:dyDescent="0.35">
      <c r="A785" s="195">
        <v>6</v>
      </c>
      <c r="B785" s="195">
        <v>7</v>
      </c>
      <c r="C785" s="195" t="s">
        <v>1200</v>
      </c>
      <c r="D785" s="64">
        <v>30765</v>
      </c>
      <c r="E785" s="195" t="s">
        <v>1192</v>
      </c>
      <c r="F785" s="71" t="s">
        <v>1193</v>
      </c>
      <c r="G785" s="71" t="s">
        <v>1194</v>
      </c>
      <c r="H785" s="71" t="s">
        <v>1201</v>
      </c>
      <c r="I785" s="71" t="s">
        <v>362</v>
      </c>
    </row>
    <row r="786" spans="1:9" ht="43.5" x14ac:dyDescent="0.35">
      <c r="A786" s="195">
        <v>6</v>
      </c>
      <c r="B786" s="195">
        <v>8</v>
      </c>
      <c r="C786" s="195" t="s">
        <v>1202</v>
      </c>
      <c r="D786" s="64">
        <v>21145</v>
      </c>
      <c r="E786" s="195" t="s">
        <v>1192</v>
      </c>
      <c r="F786" s="71" t="s">
        <v>1193</v>
      </c>
      <c r="G786" s="71" t="s">
        <v>1194</v>
      </c>
      <c r="H786" s="71" t="s">
        <v>1201</v>
      </c>
      <c r="I786" s="71" t="s">
        <v>1057</v>
      </c>
    </row>
    <row r="787" spans="1:9" ht="43.5" x14ac:dyDescent="0.35">
      <c r="A787" s="195">
        <v>6</v>
      </c>
      <c r="B787" s="195">
        <v>9</v>
      </c>
      <c r="C787" s="195" t="s">
        <v>1203</v>
      </c>
      <c r="D787" s="64">
        <v>9620</v>
      </c>
      <c r="E787" s="195" t="s">
        <v>1192</v>
      </c>
      <c r="F787" s="71" t="s">
        <v>1193</v>
      </c>
      <c r="G787" s="71" t="s">
        <v>1194</v>
      </c>
      <c r="H787" s="71" t="s">
        <v>1201</v>
      </c>
      <c r="I787" s="71" t="s">
        <v>1082</v>
      </c>
    </row>
    <row r="788" spans="1:9" ht="58" x14ac:dyDescent="0.35">
      <c r="A788" s="195">
        <v>6</v>
      </c>
      <c r="B788" s="195">
        <v>10</v>
      </c>
      <c r="C788" s="195" t="s">
        <v>1204</v>
      </c>
      <c r="D788" s="195">
        <v>0</v>
      </c>
      <c r="E788" s="195" t="s">
        <v>1192</v>
      </c>
      <c r="F788" s="71" t="s">
        <v>1193</v>
      </c>
      <c r="G788" s="71" t="s">
        <v>1194</v>
      </c>
      <c r="H788" s="71" t="s">
        <v>1201</v>
      </c>
      <c r="I788" s="71" t="s">
        <v>1013</v>
      </c>
    </row>
    <row r="789" spans="1:9" ht="43.5" x14ac:dyDescent="0.35">
      <c r="A789" s="195">
        <v>6</v>
      </c>
      <c r="B789" s="195">
        <v>11</v>
      </c>
      <c r="C789" s="195" t="s">
        <v>1205</v>
      </c>
      <c r="D789" s="64">
        <v>31045</v>
      </c>
      <c r="E789" s="195" t="s">
        <v>1192</v>
      </c>
      <c r="F789" s="71" t="s">
        <v>1193</v>
      </c>
      <c r="G789" s="71" t="s">
        <v>1194</v>
      </c>
      <c r="H789" s="71" t="s">
        <v>1206</v>
      </c>
      <c r="I789" s="71" t="s">
        <v>362</v>
      </c>
    </row>
    <row r="790" spans="1:9" ht="43.5" x14ac:dyDescent="0.35">
      <c r="A790" s="195">
        <v>6</v>
      </c>
      <c r="B790" s="195">
        <v>12</v>
      </c>
      <c r="C790" s="195" t="s">
        <v>1207</v>
      </c>
      <c r="D790" s="64">
        <v>13310</v>
      </c>
      <c r="E790" s="195" t="s">
        <v>1192</v>
      </c>
      <c r="F790" s="71" t="s">
        <v>1193</v>
      </c>
      <c r="G790" s="71" t="s">
        <v>1194</v>
      </c>
      <c r="H790" s="71" t="s">
        <v>1206</v>
      </c>
      <c r="I790" s="71" t="s">
        <v>1057</v>
      </c>
    </row>
    <row r="791" spans="1:9" ht="43.5" x14ac:dyDescent="0.35">
      <c r="A791" s="195">
        <v>6</v>
      </c>
      <c r="B791" s="195">
        <v>13</v>
      </c>
      <c r="C791" s="195" t="s">
        <v>1208</v>
      </c>
      <c r="D791" s="64">
        <v>17730</v>
      </c>
      <c r="E791" s="195" t="s">
        <v>1192</v>
      </c>
      <c r="F791" s="71" t="s">
        <v>1193</v>
      </c>
      <c r="G791" s="71" t="s">
        <v>1194</v>
      </c>
      <c r="H791" s="71" t="s">
        <v>1206</v>
      </c>
      <c r="I791" s="71" t="s">
        <v>1082</v>
      </c>
    </row>
    <row r="792" spans="1:9" ht="58" x14ac:dyDescent="0.35">
      <c r="A792" s="195">
        <v>6</v>
      </c>
      <c r="B792" s="195">
        <v>14</v>
      </c>
      <c r="C792" s="195" t="s">
        <v>1209</v>
      </c>
      <c r="D792" s="195">
        <v>0</v>
      </c>
      <c r="E792" s="195" t="s">
        <v>1192</v>
      </c>
      <c r="F792" s="71" t="s">
        <v>1193</v>
      </c>
      <c r="G792" s="71" t="s">
        <v>1194</v>
      </c>
      <c r="H792" s="71" t="s">
        <v>1206</v>
      </c>
      <c r="I792" s="71" t="s">
        <v>1013</v>
      </c>
    </row>
    <row r="793" spans="1:9" ht="43.5" x14ac:dyDescent="0.35">
      <c r="A793" s="195">
        <v>6</v>
      </c>
      <c r="B793" s="195">
        <v>15</v>
      </c>
      <c r="C793" s="195" t="s">
        <v>1210</v>
      </c>
      <c r="D793" s="64">
        <v>62985</v>
      </c>
      <c r="E793" s="195" t="s">
        <v>1192</v>
      </c>
      <c r="F793" s="71" t="s">
        <v>1193</v>
      </c>
      <c r="G793" s="71" t="s">
        <v>1194</v>
      </c>
      <c r="H793" s="71" t="s">
        <v>1211</v>
      </c>
      <c r="I793" s="71" t="s">
        <v>362</v>
      </c>
    </row>
    <row r="794" spans="1:9" ht="43.5" x14ac:dyDescent="0.35">
      <c r="A794" s="195">
        <v>6</v>
      </c>
      <c r="B794" s="195">
        <v>16</v>
      </c>
      <c r="C794" s="195" t="s">
        <v>1212</v>
      </c>
      <c r="D794" s="64">
        <v>9830</v>
      </c>
      <c r="E794" s="195" t="s">
        <v>1192</v>
      </c>
      <c r="F794" s="71" t="s">
        <v>1193</v>
      </c>
      <c r="G794" s="71" t="s">
        <v>1194</v>
      </c>
      <c r="H794" s="71" t="s">
        <v>1211</v>
      </c>
      <c r="I794" s="71" t="s">
        <v>1057</v>
      </c>
    </row>
    <row r="795" spans="1:9" ht="43.5" x14ac:dyDescent="0.35">
      <c r="A795" s="195">
        <v>6</v>
      </c>
      <c r="B795" s="195">
        <v>17</v>
      </c>
      <c r="C795" s="195" t="s">
        <v>1213</v>
      </c>
      <c r="D795" s="64">
        <v>53155</v>
      </c>
      <c r="E795" s="195" t="s">
        <v>1192</v>
      </c>
      <c r="F795" s="71" t="s">
        <v>1193</v>
      </c>
      <c r="G795" s="71" t="s">
        <v>1194</v>
      </c>
      <c r="H795" s="71" t="s">
        <v>1211</v>
      </c>
      <c r="I795" s="71" t="s">
        <v>1082</v>
      </c>
    </row>
    <row r="796" spans="1:9" ht="58" x14ac:dyDescent="0.35">
      <c r="A796" s="195">
        <v>6</v>
      </c>
      <c r="B796" s="195">
        <v>18</v>
      </c>
      <c r="C796" s="195" t="s">
        <v>1214</v>
      </c>
      <c r="D796" s="195">
        <v>0</v>
      </c>
      <c r="E796" s="195" t="s">
        <v>1192</v>
      </c>
      <c r="F796" s="71" t="s">
        <v>1193</v>
      </c>
      <c r="G796" s="71" t="s">
        <v>1194</v>
      </c>
      <c r="H796" s="71" t="s">
        <v>1211</v>
      </c>
      <c r="I796" s="71" t="s">
        <v>1013</v>
      </c>
    </row>
    <row r="797" spans="1:9" ht="43.5" x14ac:dyDescent="0.35">
      <c r="A797" s="195">
        <v>6</v>
      </c>
      <c r="B797" s="195">
        <v>19</v>
      </c>
      <c r="C797" s="195" t="s">
        <v>1215</v>
      </c>
      <c r="D797" s="64">
        <v>257020</v>
      </c>
      <c r="E797" s="195" t="s">
        <v>1192</v>
      </c>
      <c r="F797" s="71" t="s">
        <v>1193</v>
      </c>
      <c r="G797" s="71" t="s">
        <v>1216</v>
      </c>
      <c r="H797" s="71" t="s">
        <v>363</v>
      </c>
      <c r="I797" s="71" t="s">
        <v>362</v>
      </c>
    </row>
    <row r="798" spans="1:9" ht="43.5" x14ac:dyDescent="0.35">
      <c r="A798" s="195">
        <v>6</v>
      </c>
      <c r="B798" s="195">
        <v>20</v>
      </c>
      <c r="C798" s="195" t="s">
        <v>1217</v>
      </c>
      <c r="D798" s="64">
        <v>82095</v>
      </c>
      <c r="E798" s="195" t="s">
        <v>1192</v>
      </c>
      <c r="F798" s="71" t="s">
        <v>1193</v>
      </c>
      <c r="G798" s="71" t="s">
        <v>1216</v>
      </c>
      <c r="H798" s="71" t="s">
        <v>1196</v>
      </c>
      <c r="I798" s="71" t="s">
        <v>362</v>
      </c>
    </row>
    <row r="799" spans="1:9" ht="43.5" x14ac:dyDescent="0.35">
      <c r="A799" s="195">
        <v>6</v>
      </c>
      <c r="B799" s="195">
        <v>21</v>
      </c>
      <c r="C799" s="195" t="s">
        <v>1218</v>
      </c>
      <c r="D799" s="64">
        <v>64605</v>
      </c>
      <c r="E799" s="195" t="s">
        <v>1192</v>
      </c>
      <c r="F799" s="71" t="s">
        <v>1193</v>
      </c>
      <c r="G799" s="71" t="s">
        <v>1216</v>
      </c>
      <c r="H799" s="71" t="s">
        <v>1196</v>
      </c>
      <c r="I799" s="71" t="s">
        <v>1057</v>
      </c>
    </row>
    <row r="800" spans="1:9" ht="43.5" x14ac:dyDescent="0.35">
      <c r="A800" s="195">
        <v>6</v>
      </c>
      <c r="B800" s="195">
        <v>22</v>
      </c>
      <c r="C800" s="195" t="s">
        <v>1219</v>
      </c>
      <c r="D800" s="64">
        <v>12935</v>
      </c>
      <c r="E800" s="195" t="s">
        <v>1192</v>
      </c>
      <c r="F800" s="71" t="s">
        <v>1193</v>
      </c>
      <c r="G800" s="71" t="s">
        <v>1216</v>
      </c>
      <c r="H800" s="71" t="s">
        <v>1196</v>
      </c>
      <c r="I800" s="71" t="s">
        <v>1082</v>
      </c>
    </row>
    <row r="801" spans="1:9" ht="58" x14ac:dyDescent="0.35">
      <c r="A801" s="195">
        <v>6</v>
      </c>
      <c r="B801" s="195">
        <v>23</v>
      </c>
      <c r="C801" s="195" t="s">
        <v>1220</v>
      </c>
      <c r="D801" s="64">
        <v>4555</v>
      </c>
      <c r="E801" s="195" t="s">
        <v>1192</v>
      </c>
      <c r="F801" s="71" t="s">
        <v>1193</v>
      </c>
      <c r="G801" s="71" t="s">
        <v>1216</v>
      </c>
      <c r="H801" s="71" t="s">
        <v>1196</v>
      </c>
      <c r="I801" s="71" t="s">
        <v>1013</v>
      </c>
    </row>
    <row r="802" spans="1:9" ht="43.5" x14ac:dyDescent="0.35">
      <c r="A802" s="195">
        <v>6</v>
      </c>
      <c r="B802" s="195">
        <v>24</v>
      </c>
      <c r="C802" s="195" t="s">
        <v>1221</v>
      </c>
      <c r="D802" s="64">
        <v>49630</v>
      </c>
      <c r="E802" s="195" t="s">
        <v>1192</v>
      </c>
      <c r="F802" s="71" t="s">
        <v>1193</v>
      </c>
      <c r="G802" s="71" t="s">
        <v>1216</v>
      </c>
      <c r="H802" s="71" t="s">
        <v>1201</v>
      </c>
      <c r="I802" s="71" t="s">
        <v>362</v>
      </c>
    </row>
    <row r="803" spans="1:9" ht="43.5" x14ac:dyDescent="0.35">
      <c r="A803" s="195">
        <v>6</v>
      </c>
      <c r="B803" s="195">
        <v>25</v>
      </c>
      <c r="C803" s="195" t="s">
        <v>1222</v>
      </c>
      <c r="D803" s="64">
        <v>34605</v>
      </c>
      <c r="E803" s="195" t="s">
        <v>1192</v>
      </c>
      <c r="F803" s="71" t="s">
        <v>1193</v>
      </c>
      <c r="G803" s="71" t="s">
        <v>1216</v>
      </c>
      <c r="H803" s="71" t="s">
        <v>1201</v>
      </c>
      <c r="I803" s="71" t="s">
        <v>1057</v>
      </c>
    </row>
    <row r="804" spans="1:9" ht="43.5" x14ac:dyDescent="0.35">
      <c r="A804" s="195">
        <v>6</v>
      </c>
      <c r="B804" s="195">
        <v>26</v>
      </c>
      <c r="C804" s="195" t="s">
        <v>1223</v>
      </c>
      <c r="D804" s="64">
        <v>15025</v>
      </c>
      <c r="E804" s="195" t="s">
        <v>1192</v>
      </c>
      <c r="F804" s="71" t="s">
        <v>1193</v>
      </c>
      <c r="G804" s="71" t="s">
        <v>1216</v>
      </c>
      <c r="H804" s="71" t="s">
        <v>1201</v>
      </c>
      <c r="I804" s="71" t="s">
        <v>1082</v>
      </c>
    </row>
    <row r="805" spans="1:9" ht="58" x14ac:dyDescent="0.35">
      <c r="A805" s="195">
        <v>6</v>
      </c>
      <c r="B805" s="195">
        <v>27</v>
      </c>
      <c r="C805" s="195" t="s">
        <v>1224</v>
      </c>
      <c r="D805" s="195">
        <v>0</v>
      </c>
      <c r="E805" s="195" t="s">
        <v>1192</v>
      </c>
      <c r="F805" s="71" t="s">
        <v>1193</v>
      </c>
      <c r="G805" s="71" t="s">
        <v>1216</v>
      </c>
      <c r="H805" s="71" t="s">
        <v>1201</v>
      </c>
      <c r="I805" s="71" t="s">
        <v>1013</v>
      </c>
    </row>
    <row r="806" spans="1:9" ht="43.5" x14ac:dyDescent="0.35">
      <c r="A806" s="195">
        <v>6</v>
      </c>
      <c r="B806" s="195">
        <v>28</v>
      </c>
      <c r="C806" s="195" t="s">
        <v>1225</v>
      </c>
      <c r="D806" s="64">
        <v>45800</v>
      </c>
      <c r="E806" s="195" t="s">
        <v>1192</v>
      </c>
      <c r="F806" s="71" t="s">
        <v>1193</v>
      </c>
      <c r="G806" s="71" t="s">
        <v>1216</v>
      </c>
      <c r="H806" s="71" t="s">
        <v>1206</v>
      </c>
      <c r="I806" s="71" t="s">
        <v>362</v>
      </c>
    </row>
    <row r="807" spans="1:9" ht="43.5" x14ac:dyDescent="0.35">
      <c r="A807" s="195">
        <v>6</v>
      </c>
      <c r="B807" s="195">
        <v>29</v>
      </c>
      <c r="C807" s="195" t="s">
        <v>1226</v>
      </c>
      <c r="D807" s="64">
        <v>19495</v>
      </c>
      <c r="E807" s="195" t="s">
        <v>1192</v>
      </c>
      <c r="F807" s="71" t="s">
        <v>1193</v>
      </c>
      <c r="G807" s="71" t="s">
        <v>1216</v>
      </c>
      <c r="H807" s="71" t="s">
        <v>1206</v>
      </c>
      <c r="I807" s="71" t="s">
        <v>1057</v>
      </c>
    </row>
    <row r="808" spans="1:9" ht="43.5" x14ac:dyDescent="0.35">
      <c r="A808" s="195">
        <v>6</v>
      </c>
      <c r="B808" s="195">
        <v>30</v>
      </c>
      <c r="C808" s="195" t="s">
        <v>1227</v>
      </c>
      <c r="D808" s="64">
        <v>26305</v>
      </c>
      <c r="E808" s="195" t="s">
        <v>1192</v>
      </c>
      <c r="F808" s="71" t="s">
        <v>1193</v>
      </c>
      <c r="G808" s="71" t="s">
        <v>1216</v>
      </c>
      <c r="H808" s="71" t="s">
        <v>1206</v>
      </c>
      <c r="I808" s="71" t="s">
        <v>1082</v>
      </c>
    </row>
    <row r="809" spans="1:9" ht="58" x14ac:dyDescent="0.35">
      <c r="A809" s="195">
        <v>6</v>
      </c>
      <c r="B809" s="195">
        <v>31</v>
      </c>
      <c r="C809" s="195" t="s">
        <v>1228</v>
      </c>
      <c r="D809" s="195">
        <v>0</v>
      </c>
      <c r="E809" s="195" t="s">
        <v>1192</v>
      </c>
      <c r="F809" s="71" t="s">
        <v>1193</v>
      </c>
      <c r="G809" s="71" t="s">
        <v>1216</v>
      </c>
      <c r="H809" s="71" t="s">
        <v>1206</v>
      </c>
      <c r="I809" s="71" t="s">
        <v>1013</v>
      </c>
    </row>
    <row r="810" spans="1:9" ht="43.5" x14ac:dyDescent="0.35">
      <c r="A810" s="195">
        <v>6</v>
      </c>
      <c r="B810" s="195">
        <v>32</v>
      </c>
      <c r="C810" s="195" t="s">
        <v>1229</v>
      </c>
      <c r="D810" s="64">
        <v>79495</v>
      </c>
      <c r="E810" s="195" t="s">
        <v>1192</v>
      </c>
      <c r="F810" s="71" t="s">
        <v>1193</v>
      </c>
      <c r="G810" s="71" t="s">
        <v>1216</v>
      </c>
      <c r="H810" s="71" t="s">
        <v>1211</v>
      </c>
      <c r="I810" s="71" t="s">
        <v>362</v>
      </c>
    </row>
    <row r="811" spans="1:9" ht="43.5" x14ac:dyDescent="0.35">
      <c r="A811" s="195">
        <v>6</v>
      </c>
      <c r="B811" s="195">
        <v>33</v>
      </c>
      <c r="C811" s="195" t="s">
        <v>1230</v>
      </c>
      <c r="D811" s="64">
        <v>12445</v>
      </c>
      <c r="E811" s="195" t="s">
        <v>1192</v>
      </c>
      <c r="F811" s="71" t="s">
        <v>1193</v>
      </c>
      <c r="G811" s="71" t="s">
        <v>1216</v>
      </c>
      <c r="H811" s="71" t="s">
        <v>1211</v>
      </c>
      <c r="I811" s="71" t="s">
        <v>1057</v>
      </c>
    </row>
    <row r="812" spans="1:9" ht="43.5" x14ac:dyDescent="0.35">
      <c r="A812" s="195">
        <v>6</v>
      </c>
      <c r="B812" s="195">
        <v>34</v>
      </c>
      <c r="C812" s="195" t="s">
        <v>1231</v>
      </c>
      <c r="D812" s="64">
        <v>67050</v>
      </c>
      <c r="E812" s="195" t="s">
        <v>1192</v>
      </c>
      <c r="F812" s="71" t="s">
        <v>1193</v>
      </c>
      <c r="G812" s="71" t="s">
        <v>1216</v>
      </c>
      <c r="H812" s="71" t="s">
        <v>1211</v>
      </c>
      <c r="I812" s="71" t="s">
        <v>1082</v>
      </c>
    </row>
    <row r="813" spans="1:9" ht="58" x14ac:dyDescent="0.35">
      <c r="A813" s="195">
        <v>6</v>
      </c>
      <c r="B813" s="195">
        <v>35</v>
      </c>
      <c r="C813" s="195" t="s">
        <v>1232</v>
      </c>
      <c r="D813" s="195">
        <v>0</v>
      </c>
      <c r="E813" s="195" t="s">
        <v>1192</v>
      </c>
      <c r="F813" s="71" t="s">
        <v>1193</v>
      </c>
      <c r="G813" s="71" t="s">
        <v>1216</v>
      </c>
      <c r="H813" s="71" t="s">
        <v>1211</v>
      </c>
      <c r="I813" s="71" t="s">
        <v>1013</v>
      </c>
    </row>
    <row r="814" spans="1:9" ht="29" x14ac:dyDescent="0.35">
      <c r="A814" s="195">
        <v>6</v>
      </c>
      <c r="B814" s="195">
        <v>36</v>
      </c>
      <c r="C814" s="195" t="s">
        <v>1233</v>
      </c>
      <c r="D814" s="64">
        <v>146910</v>
      </c>
      <c r="E814" s="195" t="s">
        <v>1192</v>
      </c>
      <c r="F814" s="71" t="s">
        <v>1193</v>
      </c>
      <c r="G814" s="71" t="s">
        <v>1234</v>
      </c>
      <c r="H814" s="71" t="s">
        <v>363</v>
      </c>
      <c r="I814" s="71" t="s">
        <v>362</v>
      </c>
    </row>
    <row r="815" spans="1:9" ht="43.5" x14ac:dyDescent="0.35">
      <c r="A815" s="195">
        <v>6</v>
      </c>
      <c r="B815" s="195">
        <v>37</v>
      </c>
      <c r="C815" s="195" t="s">
        <v>1235</v>
      </c>
      <c r="D815" s="64">
        <v>46285</v>
      </c>
      <c r="E815" s="195" t="s">
        <v>1192</v>
      </c>
      <c r="F815" s="71" t="s">
        <v>1193</v>
      </c>
      <c r="G815" s="71" t="s">
        <v>1234</v>
      </c>
      <c r="H815" s="71" t="s">
        <v>1196</v>
      </c>
      <c r="I815" s="71" t="s">
        <v>362</v>
      </c>
    </row>
    <row r="816" spans="1:9" ht="43.5" x14ac:dyDescent="0.35">
      <c r="A816" s="195">
        <v>6</v>
      </c>
      <c r="B816" s="195">
        <v>38</v>
      </c>
      <c r="C816" s="195" t="s">
        <v>1236</v>
      </c>
      <c r="D816" s="64">
        <v>36805</v>
      </c>
      <c r="E816" s="195" t="s">
        <v>1192</v>
      </c>
      <c r="F816" s="71" t="s">
        <v>1193</v>
      </c>
      <c r="G816" s="71" t="s">
        <v>1234</v>
      </c>
      <c r="H816" s="71" t="s">
        <v>1196</v>
      </c>
      <c r="I816" s="71" t="s">
        <v>1057</v>
      </c>
    </row>
    <row r="817" spans="1:9" ht="43.5" x14ac:dyDescent="0.35">
      <c r="A817" s="195">
        <v>6</v>
      </c>
      <c r="B817" s="195">
        <v>39</v>
      </c>
      <c r="C817" s="195" t="s">
        <v>1237</v>
      </c>
      <c r="D817" s="64">
        <v>6490</v>
      </c>
      <c r="E817" s="195" t="s">
        <v>1192</v>
      </c>
      <c r="F817" s="71" t="s">
        <v>1193</v>
      </c>
      <c r="G817" s="71" t="s">
        <v>1234</v>
      </c>
      <c r="H817" s="71" t="s">
        <v>1196</v>
      </c>
      <c r="I817" s="71" t="s">
        <v>1082</v>
      </c>
    </row>
    <row r="818" spans="1:9" ht="58" x14ac:dyDescent="0.35">
      <c r="A818" s="195">
        <v>6</v>
      </c>
      <c r="B818" s="195">
        <v>40</v>
      </c>
      <c r="C818" s="195" t="s">
        <v>1238</v>
      </c>
      <c r="D818" s="64">
        <v>2995</v>
      </c>
      <c r="E818" s="195" t="s">
        <v>1192</v>
      </c>
      <c r="F818" s="71" t="s">
        <v>1193</v>
      </c>
      <c r="G818" s="71" t="s">
        <v>1234</v>
      </c>
      <c r="H818" s="71" t="s">
        <v>1196</v>
      </c>
      <c r="I818" s="71" t="s">
        <v>1013</v>
      </c>
    </row>
    <row r="819" spans="1:9" ht="43.5" x14ac:dyDescent="0.35">
      <c r="A819" s="195">
        <v>6</v>
      </c>
      <c r="B819" s="195">
        <v>41</v>
      </c>
      <c r="C819" s="195" t="s">
        <v>1239</v>
      </c>
      <c r="D819" s="64">
        <v>27535</v>
      </c>
      <c r="E819" s="195" t="s">
        <v>1192</v>
      </c>
      <c r="F819" s="71" t="s">
        <v>1193</v>
      </c>
      <c r="G819" s="71" t="s">
        <v>1234</v>
      </c>
      <c r="H819" s="71" t="s">
        <v>1201</v>
      </c>
      <c r="I819" s="71" t="s">
        <v>362</v>
      </c>
    </row>
    <row r="820" spans="1:9" ht="43.5" x14ac:dyDescent="0.35">
      <c r="A820" s="195">
        <v>6</v>
      </c>
      <c r="B820" s="195">
        <v>42</v>
      </c>
      <c r="C820" s="195" t="s">
        <v>1240</v>
      </c>
      <c r="D820" s="64">
        <v>20195</v>
      </c>
      <c r="E820" s="195" t="s">
        <v>1192</v>
      </c>
      <c r="F820" s="71" t="s">
        <v>1193</v>
      </c>
      <c r="G820" s="71" t="s">
        <v>1234</v>
      </c>
      <c r="H820" s="71" t="s">
        <v>1201</v>
      </c>
      <c r="I820" s="71" t="s">
        <v>1057</v>
      </c>
    </row>
    <row r="821" spans="1:9" ht="43.5" x14ac:dyDescent="0.35">
      <c r="A821" s="195">
        <v>6</v>
      </c>
      <c r="B821" s="195">
        <v>43</v>
      </c>
      <c r="C821" s="195" t="s">
        <v>1241</v>
      </c>
      <c r="D821" s="64">
        <v>7340</v>
      </c>
      <c r="E821" s="195" t="s">
        <v>1192</v>
      </c>
      <c r="F821" s="71" t="s">
        <v>1193</v>
      </c>
      <c r="G821" s="71" t="s">
        <v>1234</v>
      </c>
      <c r="H821" s="71" t="s">
        <v>1201</v>
      </c>
      <c r="I821" s="71" t="s">
        <v>1082</v>
      </c>
    </row>
    <row r="822" spans="1:9" ht="58" x14ac:dyDescent="0.35">
      <c r="A822" s="195">
        <v>6</v>
      </c>
      <c r="B822" s="195">
        <v>44</v>
      </c>
      <c r="C822" s="195" t="s">
        <v>1242</v>
      </c>
      <c r="D822" s="195">
        <v>0</v>
      </c>
      <c r="E822" s="195" t="s">
        <v>1192</v>
      </c>
      <c r="F822" s="71" t="s">
        <v>1193</v>
      </c>
      <c r="G822" s="71" t="s">
        <v>1234</v>
      </c>
      <c r="H822" s="71" t="s">
        <v>1201</v>
      </c>
      <c r="I822" s="71" t="s">
        <v>1013</v>
      </c>
    </row>
    <row r="823" spans="1:9" ht="43.5" x14ac:dyDescent="0.35">
      <c r="A823" s="195">
        <v>6</v>
      </c>
      <c r="B823" s="195">
        <v>45</v>
      </c>
      <c r="C823" s="195" t="s">
        <v>1243</v>
      </c>
      <c r="D823" s="64">
        <v>25475</v>
      </c>
      <c r="E823" s="195" t="s">
        <v>1192</v>
      </c>
      <c r="F823" s="71" t="s">
        <v>1193</v>
      </c>
      <c r="G823" s="71" t="s">
        <v>1234</v>
      </c>
      <c r="H823" s="71" t="s">
        <v>1206</v>
      </c>
      <c r="I823" s="71" t="s">
        <v>362</v>
      </c>
    </row>
    <row r="824" spans="1:9" ht="43.5" x14ac:dyDescent="0.35">
      <c r="A824" s="195">
        <v>6</v>
      </c>
      <c r="B824" s="195">
        <v>46</v>
      </c>
      <c r="C824" s="195" t="s">
        <v>1244</v>
      </c>
      <c r="D824" s="64">
        <v>11460</v>
      </c>
      <c r="E824" s="195" t="s">
        <v>1192</v>
      </c>
      <c r="F824" s="71" t="s">
        <v>1193</v>
      </c>
      <c r="G824" s="71" t="s">
        <v>1234</v>
      </c>
      <c r="H824" s="71" t="s">
        <v>1206</v>
      </c>
      <c r="I824" s="71" t="s">
        <v>1057</v>
      </c>
    </row>
    <row r="825" spans="1:9" ht="43.5" x14ac:dyDescent="0.35">
      <c r="A825" s="195">
        <v>6</v>
      </c>
      <c r="B825" s="195">
        <v>47</v>
      </c>
      <c r="C825" s="195" t="s">
        <v>1245</v>
      </c>
      <c r="D825" s="64">
        <v>14015</v>
      </c>
      <c r="E825" s="195" t="s">
        <v>1192</v>
      </c>
      <c r="F825" s="71" t="s">
        <v>1193</v>
      </c>
      <c r="G825" s="71" t="s">
        <v>1234</v>
      </c>
      <c r="H825" s="71" t="s">
        <v>1206</v>
      </c>
      <c r="I825" s="71" t="s">
        <v>1082</v>
      </c>
    </row>
    <row r="826" spans="1:9" ht="58" x14ac:dyDescent="0.35">
      <c r="A826" s="195">
        <v>6</v>
      </c>
      <c r="B826" s="195">
        <v>48</v>
      </c>
      <c r="C826" s="195" t="s">
        <v>1246</v>
      </c>
      <c r="D826" s="195">
        <v>0</v>
      </c>
      <c r="E826" s="195" t="s">
        <v>1192</v>
      </c>
      <c r="F826" s="71" t="s">
        <v>1193</v>
      </c>
      <c r="G826" s="71" t="s">
        <v>1234</v>
      </c>
      <c r="H826" s="71" t="s">
        <v>1206</v>
      </c>
      <c r="I826" s="71" t="s">
        <v>1013</v>
      </c>
    </row>
    <row r="827" spans="1:9" ht="43.5" x14ac:dyDescent="0.35">
      <c r="A827" s="195">
        <v>6</v>
      </c>
      <c r="B827" s="195">
        <v>49</v>
      </c>
      <c r="C827" s="195" t="s">
        <v>1247</v>
      </c>
      <c r="D827" s="64">
        <v>47615</v>
      </c>
      <c r="E827" s="195" t="s">
        <v>1192</v>
      </c>
      <c r="F827" s="71" t="s">
        <v>1193</v>
      </c>
      <c r="G827" s="71" t="s">
        <v>1234</v>
      </c>
      <c r="H827" s="71" t="s">
        <v>1211</v>
      </c>
      <c r="I827" s="71" t="s">
        <v>362</v>
      </c>
    </row>
    <row r="828" spans="1:9" ht="43.5" x14ac:dyDescent="0.35">
      <c r="A828" s="195">
        <v>6</v>
      </c>
      <c r="B828" s="195">
        <v>50</v>
      </c>
      <c r="C828" s="195" t="s">
        <v>1248</v>
      </c>
      <c r="D828" s="64">
        <v>7615</v>
      </c>
      <c r="E828" s="195" t="s">
        <v>1192</v>
      </c>
      <c r="F828" s="71" t="s">
        <v>1193</v>
      </c>
      <c r="G828" s="71" t="s">
        <v>1234</v>
      </c>
      <c r="H828" s="71" t="s">
        <v>1211</v>
      </c>
      <c r="I828" s="71" t="s">
        <v>1057</v>
      </c>
    </row>
    <row r="829" spans="1:9" ht="43.5" x14ac:dyDescent="0.35">
      <c r="A829" s="195">
        <v>6</v>
      </c>
      <c r="B829" s="195">
        <v>51</v>
      </c>
      <c r="C829" s="195" t="s">
        <v>1249</v>
      </c>
      <c r="D829" s="64">
        <v>40005</v>
      </c>
      <c r="E829" s="195" t="s">
        <v>1192</v>
      </c>
      <c r="F829" s="71" t="s">
        <v>1193</v>
      </c>
      <c r="G829" s="71" t="s">
        <v>1234</v>
      </c>
      <c r="H829" s="71" t="s">
        <v>1211</v>
      </c>
      <c r="I829" s="71" t="s">
        <v>1082</v>
      </c>
    </row>
    <row r="830" spans="1:9" ht="58" x14ac:dyDescent="0.35">
      <c r="A830" s="195">
        <v>6</v>
      </c>
      <c r="B830" s="195">
        <v>52</v>
      </c>
      <c r="C830" s="195" t="s">
        <v>1250</v>
      </c>
      <c r="D830" s="195">
        <v>0</v>
      </c>
      <c r="E830" s="195" t="s">
        <v>1192</v>
      </c>
      <c r="F830" s="71" t="s">
        <v>1193</v>
      </c>
      <c r="G830" s="71" t="s">
        <v>1234</v>
      </c>
      <c r="H830" s="71" t="s">
        <v>1211</v>
      </c>
      <c r="I830" s="71" t="s">
        <v>1013</v>
      </c>
    </row>
    <row r="831" spans="1:9" ht="43.5" x14ac:dyDescent="0.35">
      <c r="A831" s="195">
        <v>6</v>
      </c>
      <c r="B831" s="195">
        <v>53</v>
      </c>
      <c r="C831" s="195" t="s">
        <v>1251</v>
      </c>
      <c r="D831" s="64">
        <v>196860</v>
      </c>
      <c r="E831" s="195" t="s">
        <v>1192</v>
      </c>
      <c r="F831" s="71" t="s">
        <v>1193</v>
      </c>
      <c r="G831" s="71" t="s">
        <v>1252</v>
      </c>
      <c r="H831" s="71" t="s">
        <v>363</v>
      </c>
      <c r="I831" s="71" t="s">
        <v>362</v>
      </c>
    </row>
    <row r="832" spans="1:9" ht="43.5" x14ac:dyDescent="0.35">
      <c r="A832" s="195">
        <v>6</v>
      </c>
      <c r="B832" s="195">
        <v>54</v>
      </c>
      <c r="C832" s="195" t="s">
        <v>1253</v>
      </c>
      <c r="D832" s="64">
        <v>60935</v>
      </c>
      <c r="E832" s="195" t="s">
        <v>1192</v>
      </c>
      <c r="F832" s="71" t="s">
        <v>1193</v>
      </c>
      <c r="G832" s="71" t="s">
        <v>1252</v>
      </c>
      <c r="H832" s="71" t="s">
        <v>1196</v>
      </c>
      <c r="I832" s="71" t="s">
        <v>362</v>
      </c>
    </row>
    <row r="833" spans="1:9" ht="43.5" x14ac:dyDescent="0.35">
      <c r="A833" s="195">
        <v>6</v>
      </c>
      <c r="B833" s="195">
        <v>55</v>
      </c>
      <c r="C833" s="195" t="s">
        <v>1254</v>
      </c>
      <c r="D833" s="64">
        <v>48030</v>
      </c>
      <c r="E833" s="195" t="s">
        <v>1192</v>
      </c>
      <c r="F833" s="71" t="s">
        <v>1193</v>
      </c>
      <c r="G833" s="71" t="s">
        <v>1252</v>
      </c>
      <c r="H833" s="71" t="s">
        <v>1196</v>
      </c>
      <c r="I833" s="71" t="s">
        <v>1057</v>
      </c>
    </row>
    <row r="834" spans="1:9" ht="43.5" x14ac:dyDescent="0.35">
      <c r="A834" s="195">
        <v>6</v>
      </c>
      <c r="B834" s="195">
        <v>56</v>
      </c>
      <c r="C834" s="195" t="s">
        <v>1255</v>
      </c>
      <c r="D834" s="64">
        <v>9605</v>
      </c>
      <c r="E834" s="195" t="s">
        <v>1192</v>
      </c>
      <c r="F834" s="71" t="s">
        <v>1193</v>
      </c>
      <c r="G834" s="71" t="s">
        <v>1252</v>
      </c>
      <c r="H834" s="71" t="s">
        <v>1196</v>
      </c>
      <c r="I834" s="71" t="s">
        <v>1082</v>
      </c>
    </row>
    <row r="835" spans="1:9" ht="58" x14ac:dyDescent="0.35">
      <c r="A835" s="195">
        <v>6</v>
      </c>
      <c r="B835" s="195">
        <v>57</v>
      </c>
      <c r="C835" s="195" t="s">
        <v>1256</v>
      </c>
      <c r="D835" s="64">
        <v>3295</v>
      </c>
      <c r="E835" s="195" t="s">
        <v>1192</v>
      </c>
      <c r="F835" s="71" t="s">
        <v>1193</v>
      </c>
      <c r="G835" s="71" t="s">
        <v>1252</v>
      </c>
      <c r="H835" s="71" t="s">
        <v>1196</v>
      </c>
      <c r="I835" s="71" t="s">
        <v>1013</v>
      </c>
    </row>
    <row r="836" spans="1:9" ht="43.5" x14ac:dyDescent="0.35">
      <c r="A836" s="195">
        <v>6</v>
      </c>
      <c r="B836" s="195">
        <v>58</v>
      </c>
      <c r="C836" s="195" t="s">
        <v>1257</v>
      </c>
      <c r="D836" s="64">
        <v>38385</v>
      </c>
      <c r="E836" s="195" t="s">
        <v>1192</v>
      </c>
      <c r="F836" s="71" t="s">
        <v>1193</v>
      </c>
      <c r="G836" s="71" t="s">
        <v>1252</v>
      </c>
      <c r="H836" s="71" t="s">
        <v>1201</v>
      </c>
      <c r="I836" s="71" t="s">
        <v>362</v>
      </c>
    </row>
    <row r="837" spans="1:9" ht="43.5" x14ac:dyDescent="0.35">
      <c r="A837" s="195">
        <v>6</v>
      </c>
      <c r="B837" s="195">
        <v>59</v>
      </c>
      <c r="C837" s="195" t="s">
        <v>1258</v>
      </c>
      <c r="D837" s="64">
        <v>26600</v>
      </c>
      <c r="E837" s="195" t="s">
        <v>1192</v>
      </c>
      <c r="F837" s="71" t="s">
        <v>1193</v>
      </c>
      <c r="G837" s="71" t="s">
        <v>1252</v>
      </c>
      <c r="H837" s="71" t="s">
        <v>1201</v>
      </c>
      <c r="I837" s="71" t="s">
        <v>1057</v>
      </c>
    </row>
    <row r="838" spans="1:9" ht="43.5" x14ac:dyDescent="0.35">
      <c r="A838" s="195">
        <v>6</v>
      </c>
      <c r="B838" s="195">
        <v>60</v>
      </c>
      <c r="C838" s="195" t="s">
        <v>1259</v>
      </c>
      <c r="D838" s="64">
        <v>11785</v>
      </c>
      <c r="E838" s="195" t="s">
        <v>1192</v>
      </c>
      <c r="F838" s="71" t="s">
        <v>1193</v>
      </c>
      <c r="G838" s="71" t="s">
        <v>1252</v>
      </c>
      <c r="H838" s="71" t="s">
        <v>1201</v>
      </c>
      <c r="I838" s="71" t="s">
        <v>1082</v>
      </c>
    </row>
    <row r="839" spans="1:9" ht="58" x14ac:dyDescent="0.35">
      <c r="A839" s="195">
        <v>6</v>
      </c>
      <c r="B839" s="195">
        <v>61</v>
      </c>
      <c r="C839" s="195" t="s">
        <v>1260</v>
      </c>
      <c r="D839" s="195">
        <v>0</v>
      </c>
      <c r="E839" s="195" t="s">
        <v>1192</v>
      </c>
      <c r="F839" s="71" t="s">
        <v>1193</v>
      </c>
      <c r="G839" s="71" t="s">
        <v>1252</v>
      </c>
      <c r="H839" s="71" t="s">
        <v>1201</v>
      </c>
      <c r="I839" s="71" t="s">
        <v>1013</v>
      </c>
    </row>
    <row r="840" spans="1:9" ht="43.5" x14ac:dyDescent="0.35">
      <c r="A840" s="195">
        <v>6</v>
      </c>
      <c r="B840" s="195">
        <v>62</v>
      </c>
      <c r="C840" s="195" t="s">
        <v>1261</v>
      </c>
      <c r="D840" s="64">
        <v>35195</v>
      </c>
      <c r="E840" s="195" t="s">
        <v>1192</v>
      </c>
      <c r="F840" s="71" t="s">
        <v>1193</v>
      </c>
      <c r="G840" s="71" t="s">
        <v>1252</v>
      </c>
      <c r="H840" s="71" t="s">
        <v>1206</v>
      </c>
      <c r="I840" s="71" t="s">
        <v>362</v>
      </c>
    </row>
    <row r="841" spans="1:9" ht="43.5" x14ac:dyDescent="0.35">
      <c r="A841" s="195">
        <v>6</v>
      </c>
      <c r="B841" s="195">
        <v>63</v>
      </c>
      <c r="C841" s="195" t="s">
        <v>1262</v>
      </c>
      <c r="D841" s="64">
        <v>14900</v>
      </c>
      <c r="E841" s="195" t="s">
        <v>1192</v>
      </c>
      <c r="F841" s="71" t="s">
        <v>1193</v>
      </c>
      <c r="G841" s="71" t="s">
        <v>1252</v>
      </c>
      <c r="H841" s="71" t="s">
        <v>1206</v>
      </c>
      <c r="I841" s="71" t="s">
        <v>1057</v>
      </c>
    </row>
    <row r="842" spans="1:9" ht="43.5" x14ac:dyDescent="0.35">
      <c r="A842" s="195">
        <v>6</v>
      </c>
      <c r="B842" s="195">
        <v>64</v>
      </c>
      <c r="C842" s="195" t="s">
        <v>1263</v>
      </c>
      <c r="D842" s="64">
        <v>20295</v>
      </c>
      <c r="E842" s="195" t="s">
        <v>1192</v>
      </c>
      <c r="F842" s="71" t="s">
        <v>1193</v>
      </c>
      <c r="G842" s="71" t="s">
        <v>1252</v>
      </c>
      <c r="H842" s="71" t="s">
        <v>1206</v>
      </c>
      <c r="I842" s="71" t="s">
        <v>1082</v>
      </c>
    </row>
    <row r="843" spans="1:9" ht="58" x14ac:dyDescent="0.35">
      <c r="A843" s="195">
        <v>6</v>
      </c>
      <c r="B843" s="195">
        <v>65</v>
      </c>
      <c r="C843" s="195" t="s">
        <v>1264</v>
      </c>
      <c r="D843" s="195">
        <v>0</v>
      </c>
      <c r="E843" s="195" t="s">
        <v>1192</v>
      </c>
      <c r="F843" s="71" t="s">
        <v>1193</v>
      </c>
      <c r="G843" s="71" t="s">
        <v>1252</v>
      </c>
      <c r="H843" s="71" t="s">
        <v>1206</v>
      </c>
      <c r="I843" s="71" t="s">
        <v>1013</v>
      </c>
    </row>
    <row r="844" spans="1:9" ht="43.5" x14ac:dyDescent="0.35">
      <c r="A844" s="195">
        <v>6</v>
      </c>
      <c r="B844" s="195">
        <v>66</v>
      </c>
      <c r="C844" s="195" t="s">
        <v>1265</v>
      </c>
      <c r="D844" s="64">
        <v>62345</v>
      </c>
      <c r="E844" s="195" t="s">
        <v>1192</v>
      </c>
      <c r="F844" s="71" t="s">
        <v>1193</v>
      </c>
      <c r="G844" s="71" t="s">
        <v>1252</v>
      </c>
      <c r="H844" s="71" t="s">
        <v>1211</v>
      </c>
      <c r="I844" s="71" t="s">
        <v>362</v>
      </c>
    </row>
    <row r="845" spans="1:9" ht="43.5" x14ac:dyDescent="0.35">
      <c r="A845" s="195">
        <v>6</v>
      </c>
      <c r="B845" s="195">
        <v>67</v>
      </c>
      <c r="C845" s="195" t="s">
        <v>1266</v>
      </c>
      <c r="D845" s="64">
        <v>10010</v>
      </c>
      <c r="E845" s="195" t="s">
        <v>1192</v>
      </c>
      <c r="F845" s="71" t="s">
        <v>1193</v>
      </c>
      <c r="G845" s="71" t="s">
        <v>1252</v>
      </c>
      <c r="H845" s="71" t="s">
        <v>1211</v>
      </c>
      <c r="I845" s="71" t="s">
        <v>1057</v>
      </c>
    </row>
    <row r="846" spans="1:9" ht="43.5" x14ac:dyDescent="0.35">
      <c r="A846" s="195">
        <v>6</v>
      </c>
      <c r="B846" s="195">
        <v>68</v>
      </c>
      <c r="C846" s="195" t="s">
        <v>1267</v>
      </c>
      <c r="D846" s="64">
        <v>52335</v>
      </c>
      <c r="E846" s="195" t="s">
        <v>1192</v>
      </c>
      <c r="F846" s="71" t="s">
        <v>1193</v>
      </c>
      <c r="G846" s="71" t="s">
        <v>1252</v>
      </c>
      <c r="H846" s="71" t="s">
        <v>1211</v>
      </c>
      <c r="I846" s="71" t="s">
        <v>1082</v>
      </c>
    </row>
    <row r="847" spans="1:9" ht="58" x14ac:dyDescent="0.35">
      <c r="A847" s="195">
        <v>6</v>
      </c>
      <c r="B847" s="195">
        <v>69</v>
      </c>
      <c r="C847" s="195" t="s">
        <v>1268</v>
      </c>
      <c r="D847" s="195">
        <v>0</v>
      </c>
      <c r="E847" s="195" t="s">
        <v>1192</v>
      </c>
      <c r="F847" s="71" t="s">
        <v>1193</v>
      </c>
      <c r="G847" s="71" t="s">
        <v>1252</v>
      </c>
      <c r="H847" s="71" t="s">
        <v>1211</v>
      </c>
      <c r="I847" s="71" t="s">
        <v>1013</v>
      </c>
    </row>
    <row r="848" spans="1:9" ht="43.5" x14ac:dyDescent="0.35">
      <c r="A848" s="195">
        <v>6</v>
      </c>
      <c r="B848" s="195">
        <v>70</v>
      </c>
      <c r="C848" s="195" t="s">
        <v>1269</v>
      </c>
      <c r="D848" s="64">
        <v>1538630</v>
      </c>
      <c r="E848" s="195" t="s">
        <v>1192</v>
      </c>
      <c r="F848" s="71" t="s">
        <v>1193</v>
      </c>
      <c r="G848" s="71" t="s">
        <v>1270</v>
      </c>
      <c r="H848" s="71" t="s">
        <v>363</v>
      </c>
      <c r="I848" s="71" t="s">
        <v>362</v>
      </c>
    </row>
    <row r="849" spans="1:9" ht="43.5" x14ac:dyDescent="0.35">
      <c r="A849" s="195">
        <v>6</v>
      </c>
      <c r="B849" s="195">
        <v>71</v>
      </c>
      <c r="C849" s="195" t="s">
        <v>1271</v>
      </c>
      <c r="D849" s="64">
        <v>245980</v>
      </c>
      <c r="E849" s="195" t="s">
        <v>1192</v>
      </c>
      <c r="F849" s="71" t="s">
        <v>1193</v>
      </c>
      <c r="G849" s="71" t="s">
        <v>1270</v>
      </c>
      <c r="H849" s="71" t="s">
        <v>1196</v>
      </c>
      <c r="I849" s="71" t="s">
        <v>362</v>
      </c>
    </row>
    <row r="850" spans="1:9" ht="43.5" x14ac:dyDescent="0.35">
      <c r="A850" s="195">
        <v>6</v>
      </c>
      <c r="B850" s="195">
        <v>72</v>
      </c>
      <c r="C850" s="195" t="s">
        <v>1272</v>
      </c>
      <c r="D850" s="64">
        <v>193300</v>
      </c>
      <c r="E850" s="195" t="s">
        <v>1192</v>
      </c>
      <c r="F850" s="71" t="s">
        <v>1193</v>
      </c>
      <c r="G850" s="71" t="s">
        <v>1270</v>
      </c>
      <c r="H850" s="71" t="s">
        <v>1196</v>
      </c>
      <c r="I850" s="71" t="s">
        <v>1057</v>
      </c>
    </row>
    <row r="851" spans="1:9" ht="43.5" x14ac:dyDescent="0.35">
      <c r="A851" s="195">
        <v>6</v>
      </c>
      <c r="B851" s="195">
        <v>73</v>
      </c>
      <c r="C851" s="195" t="s">
        <v>1273</v>
      </c>
      <c r="D851" s="64">
        <v>20370</v>
      </c>
      <c r="E851" s="195" t="s">
        <v>1192</v>
      </c>
      <c r="F851" s="71" t="s">
        <v>1193</v>
      </c>
      <c r="G851" s="71" t="s">
        <v>1270</v>
      </c>
      <c r="H851" s="71" t="s">
        <v>1196</v>
      </c>
      <c r="I851" s="71" t="s">
        <v>1082</v>
      </c>
    </row>
    <row r="852" spans="1:9" ht="58" x14ac:dyDescent="0.35">
      <c r="A852" s="195">
        <v>6</v>
      </c>
      <c r="B852" s="195">
        <v>74</v>
      </c>
      <c r="C852" s="195" t="s">
        <v>1274</v>
      </c>
      <c r="D852" s="64">
        <v>32310</v>
      </c>
      <c r="E852" s="195" t="s">
        <v>1192</v>
      </c>
      <c r="F852" s="71" t="s">
        <v>1193</v>
      </c>
      <c r="G852" s="71" t="s">
        <v>1270</v>
      </c>
      <c r="H852" s="71" t="s">
        <v>1196</v>
      </c>
      <c r="I852" s="71" t="s">
        <v>1013</v>
      </c>
    </row>
    <row r="853" spans="1:9" ht="43.5" x14ac:dyDescent="0.35">
      <c r="A853" s="195">
        <v>6</v>
      </c>
      <c r="B853" s="195">
        <v>75</v>
      </c>
      <c r="C853" s="195" t="s">
        <v>1275</v>
      </c>
      <c r="D853" s="64">
        <v>190495</v>
      </c>
      <c r="E853" s="195" t="s">
        <v>1192</v>
      </c>
      <c r="F853" s="71" t="s">
        <v>1193</v>
      </c>
      <c r="G853" s="71" t="s">
        <v>1270</v>
      </c>
      <c r="H853" s="71" t="s">
        <v>1201</v>
      </c>
      <c r="I853" s="71" t="s">
        <v>362</v>
      </c>
    </row>
    <row r="854" spans="1:9" ht="43.5" x14ac:dyDescent="0.35">
      <c r="A854" s="195">
        <v>6</v>
      </c>
      <c r="B854" s="195">
        <v>76</v>
      </c>
      <c r="C854" s="195" t="s">
        <v>1276</v>
      </c>
      <c r="D854" s="64">
        <v>148200</v>
      </c>
      <c r="E854" s="195" t="s">
        <v>1192</v>
      </c>
      <c r="F854" s="71" t="s">
        <v>1193</v>
      </c>
      <c r="G854" s="71" t="s">
        <v>1270</v>
      </c>
      <c r="H854" s="71" t="s">
        <v>1201</v>
      </c>
      <c r="I854" s="71" t="s">
        <v>1057</v>
      </c>
    </row>
    <row r="855" spans="1:9" ht="43.5" x14ac:dyDescent="0.35">
      <c r="A855" s="195">
        <v>6</v>
      </c>
      <c r="B855" s="195">
        <v>77</v>
      </c>
      <c r="C855" s="195" t="s">
        <v>1277</v>
      </c>
      <c r="D855" s="64">
        <v>42295</v>
      </c>
      <c r="E855" s="195" t="s">
        <v>1192</v>
      </c>
      <c r="F855" s="71" t="s">
        <v>1193</v>
      </c>
      <c r="G855" s="71" t="s">
        <v>1270</v>
      </c>
      <c r="H855" s="71" t="s">
        <v>1201</v>
      </c>
      <c r="I855" s="71" t="s">
        <v>1082</v>
      </c>
    </row>
    <row r="856" spans="1:9" ht="58" x14ac:dyDescent="0.35">
      <c r="A856" s="195">
        <v>6</v>
      </c>
      <c r="B856" s="195">
        <v>78</v>
      </c>
      <c r="C856" s="195" t="s">
        <v>1278</v>
      </c>
      <c r="D856" s="195">
        <v>0</v>
      </c>
      <c r="E856" s="195" t="s">
        <v>1192</v>
      </c>
      <c r="F856" s="71" t="s">
        <v>1193</v>
      </c>
      <c r="G856" s="71" t="s">
        <v>1270</v>
      </c>
      <c r="H856" s="71" t="s">
        <v>1201</v>
      </c>
      <c r="I856" s="71" t="s">
        <v>1013</v>
      </c>
    </row>
    <row r="857" spans="1:9" ht="43.5" x14ac:dyDescent="0.35">
      <c r="A857" s="195">
        <v>6</v>
      </c>
      <c r="B857" s="195">
        <v>79</v>
      </c>
      <c r="C857" s="195" t="s">
        <v>1279</v>
      </c>
      <c r="D857" s="64">
        <v>253515</v>
      </c>
      <c r="E857" s="195" t="s">
        <v>1192</v>
      </c>
      <c r="F857" s="71" t="s">
        <v>1193</v>
      </c>
      <c r="G857" s="71" t="s">
        <v>1270</v>
      </c>
      <c r="H857" s="71" t="s">
        <v>1206</v>
      </c>
      <c r="I857" s="71" t="s">
        <v>362</v>
      </c>
    </row>
    <row r="858" spans="1:9" ht="43.5" x14ac:dyDescent="0.35">
      <c r="A858" s="195">
        <v>6</v>
      </c>
      <c r="B858" s="195">
        <v>80</v>
      </c>
      <c r="C858" s="195" t="s">
        <v>1280</v>
      </c>
      <c r="D858" s="64">
        <v>120220</v>
      </c>
      <c r="E858" s="195" t="s">
        <v>1192</v>
      </c>
      <c r="F858" s="71" t="s">
        <v>1193</v>
      </c>
      <c r="G858" s="71" t="s">
        <v>1270</v>
      </c>
      <c r="H858" s="71" t="s">
        <v>1206</v>
      </c>
      <c r="I858" s="71" t="s">
        <v>1057</v>
      </c>
    </row>
    <row r="859" spans="1:9" ht="43.5" x14ac:dyDescent="0.35">
      <c r="A859" s="195">
        <v>6</v>
      </c>
      <c r="B859" s="195">
        <v>81</v>
      </c>
      <c r="C859" s="195" t="s">
        <v>1281</v>
      </c>
      <c r="D859" s="64">
        <v>133295</v>
      </c>
      <c r="E859" s="195" t="s">
        <v>1192</v>
      </c>
      <c r="F859" s="71" t="s">
        <v>1193</v>
      </c>
      <c r="G859" s="71" t="s">
        <v>1270</v>
      </c>
      <c r="H859" s="71" t="s">
        <v>1206</v>
      </c>
      <c r="I859" s="71" t="s">
        <v>1082</v>
      </c>
    </row>
    <row r="860" spans="1:9" ht="58" x14ac:dyDescent="0.35">
      <c r="A860" s="195">
        <v>6</v>
      </c>
      <c r="B860" s="195">
        <v>82</v>
      </c>
      <c r="C860" s="195" t="s">
        <v>1282</v>
      </c>
      <c r="D860" s="195">
        <v>0</v>
      </c>
      <c r="E860" s="195" t="s">
        <v>1192</v>
      </c>
      <c r="F860" s="71" t="s">
        <v>1193</v>
      </c>
      <c r="G860" s="71" t="s">
        <v>1270</v>
      </c>
      <c r="H860" s="71" t="s">
        <v>1206</v>
      </c>
      <c r="I860" s="71" t="s">
        <v>1013</v>
      </c>
    </row>
    <row r="861" spans="1:9" ht="43.5" x14ac:dyDescent="0.35">
      <c r="A861" s="195">
        <v>6</v>
      </c>
      <c r="B861" s="195">
        <v>83</v>
      </c>
      <c r="C861" s="195" t="s">
        <v>1283</v>
      </c>
      <c r="D861" s="64">
        <v>848645</v>
      </c>
      <c r="E861" s="195" t="s">
        <v>1192</v>
      </c>
      <c r="F861" s="71" t="s">
        <v>1193</v>
      </c>
      <c r="G861" s="71" t="s">
        <v>1270</v>
      </c>
      <c r="H861" s="71" t="s">
        <v>1211</v>
      </c>
      <c r="I861" s="71" t="s">
        <v>362</v>
      </c>
    </row>
    <row r="862" spans="1:9" ht="43.5" x14ac:dyDescent="0.35">
      <c r="A862" s="195">
        <v>6</v>
      </c>
      <c r="B862" s="195">
        <v>84</v>
      </c>
      <c r="C862" s="195" t="s">
        <v>1284</v>
      </c>
      <c r="D862" s="64">
        <v>116860</v>
      </c>
      <c r="E862" s="195" t="s">
        <v>1192</v>
      </c>
      <c r="F862" s="71" t="s">
        <v>1193</v>
      </c>
      <c r="G862" s="71" t="s">
        <v>1270</v>
      </c>
      <c r="H862" s="71" t="s">
        <v>1211</v>
      </c>
      <c r="I862" s="71" t="s">
        <v>1057</v>
      </c>
    </row>
    <row r="863" spans="1:9" ht="43.5" x14ac:dyDescent="0.35">
      <c r="A863" s="195">
        <v>6</v>
      </c>
      <c r="B863" s="195">
        <v>85</v>
      </c>
      <c r="C863" s="195" t="s">
        <v>1285</v>
      </c>
      <c r="D863" s="64">
        <v>731785</v>
      </c>
      <c r="E863" s="195" t="s">
        <v>1192</v>
      </c>
      <c r="F863" s="71" t="s">
        <v>1193</v>
      </c>
      <c r="G863" s="71" t="s">
        <v>1270</v>
      </c>
      <c r="H863" s="71" t="s">
        <v>1211</v>
      </c>
      <c r="I863" s="71" t="s">
        <v>1082</v>
      </c>
    </row>
    <row r="864" spans="1:9" ht="58" x14ac:dyDescent="0.35">
      <c r="A864" s="195">
        <v>6</v>
      </c>
      <c r="B864" s="195">
        <v>86</v>
      </c>
      <c r="C864" s="195" t="s">
        <v>1286</v>
      </c>
      <c r="D864" s="195">
        <v>0</v>
      </c>
      <c r="E864" s="195" t="s">
        <v>1192</v>
      </c>
      <c r="F864" s="71" t="s">
        <v>1193</v>
      </c>
      <c r="G864" s="71" t="s">
        <v>1270</v>
      </c>
      <c r="H864" s="71" t="s">
        <v>1211</v>
      </c>
      <c r="I864" s="71" t="s">
        <v>1013</v>
      </c>
    </row>
    <row r="865" spans="1:9" x14ac:dyDescent="0.35">
      <c r="A865" s="195">
        <v>6</v>
      </c>
      <c r="B865" s="195">
        <v>87</v>
      </c>
      <c r="C865" s="195" t="s">
        <v>1287</v>
      </c>
      <c r="D865" s="64">
        <v>846440</v>
      </c>
      <c r="E865" s="195" t="s">
        <v>1192</v>
      </c>
      <c r="F865" s="71" t="s">
        <v>508</v>
      </c>
      <c r="G865" s="71" t="s">
        <v>1190</v>
      </c>
      <c r="H865" s="71" t="s">
        <v>363</v>
      </c>
      <c r="I865" s="71" t="s">
        <v>362</v>
      </c>
    </row>
    <row r="866" spans="1:9" ht="43.5" x14ac:dyDescent="0.35">
      <c r="A866" s="195">
        <v>6</v>
      </c>
      <c r="B866" s="195">
        <v>88</v>
      </c>
      <c r="C866" s="195" t="s">
        <v>1288</v>
      </c>
      <c r="D866" s="64">
        <v>63730</v>
      </c>
      <c r="E866" s="195" t="s">
        <v>1192</v>
      </c>
      <c r="F866" s="71" t="s">
        <v>508</v>
      </c>
      <c r="G866" s="71" t="s">
        <v>1194</v>
      </c>
      <c r="H866" s="71" t="s">
        <v>363</v>
      </c>
      <c r="I866" s="71" t="s">
        <v>362</v>
      </c>
    </row>
    <row r="867" spans="1:9" ht="43.5" x14ac:dyDescent="0.35">
      <c r="A867" s="195">
        <v>6</v>
      </c>
      <c r="B867" s="195">
        <v>89</v>
      </c>
      <c r="C867" s="195" t="s">
        <v>1289</v>
      </c>
      <c r="D867" s="64">
        <v>30535</v>
      </c>
      <c r="E867" s="195" t="s">
        <v>1192</v>
      </c>
      <c r="F867" s="71" t="s">
        <v>508</v>
      </c>
      <c r="G867" s="71" t="s">
        <v>1194</v>
      </c>
      <c r="H867" s="71" t="s">
        <v>1196</v>
      </c>
      <c r="I867" s="71" t="s">
        <v>362</v>
      </c>
    </row>
    <row r="868" spans="1:9" ht="43.5" x14ac:dyDescent="0.35">
      <c r="A868" s="195">
        <v>6</v>
      </c>
      <c r="B868" s="195">
        <v>90</v>
      </c>
      <c r="C868" s="195" t="s">
        <v>1290</v>
      </c>
      <c r="D868" s="64">
        <v>23765</v>
      </c>
      <c r="E868" s="195" t="s">
        <v>1192</v>
      </c>
      <c r="F868" s="71" t="s">
        <v>508</v>
      </c>
      <c r="G868" s="71" t="s">
        <v>1194</v>
      </c>
      <c r="H868" s="71" t="s">
        <v>1196</v>
      </c>
      <c r="I868" s="71" t="s">
        <v>1057</v>
      </c>
    </row>
    <row r="869" spans="1:9" ht="43.5" x14ac:dyDescent="0.35">
      <c r="A869" s="195">
        <v>6</v>
      </c>
      <c r="B869" s="195">
        <v>91</v>
      </c>
      <c r="C869" s="195" t="s">
        <v>1291</v>
      </c>
      <c r="D869" s="64">
        <v>5215</v>
      </c>
      <c r="E869" s="195" t="s">
        <v>1192</v>
      </c>
      <c r="F869" s="71" t="s">
        <v>508</v>
      </c>
      <c r="G869" s="71" t="s">
        <v>1194</v>
      </c>
      <c r="H869" s="71" t="s">
        <v>1196</v>
      </c>
      <c r="I869" s="71" t="s">
        <v>1082</v>
      </c>
    </row>
    <row r="870" spans="1:9" ht="58" x14ac:dyDescent="0.35">
      <c r="A870" s="195">
        <v>6</v>
      </c>
      <c r="B870" s="195">
        <v>92</v>
      </c>
      <c r="C870" s="195" t="s">
        <v>1292</v>
      </c>
      <c r="D870" s="64">
        <v>1555</v>
      </c>
      <c r="E870" s="195" t="s">
        <v>1192</v>
      </c>
      <c r="F870" s="71" t="s">
        <v>508</v>
      </c>
      <c r="G870" s="71" t="s">
        <v>1194</v>
      </c>
      <c r="H870" s="71" t="s">
        <v>1196</v>
      </c>
      <c r="I870" s="71" t="s">
        <v>1013</v>
      </c>
    </row>
    <row r="871" spans="1:9" ht="43.5" x14ac:dyDescent="0.35">
      <c r="A871" s="195">
        <v>6</v>
      </c>
      <c r="B871" s="195">
        <v>93</v>
      </c>
      <c r="C871" s="195" t="s">
        <v>1293</v>
      </c>
      <c r="D871" s="64">
        <v>12380</v>
      </c>
      <c r="E871" s="195" t="s">
        <v>1192</v>
      </c>
      <c r="F871" s="71" t="s">
        <v>508</v>
      </c>
      <c r="G871" s="71" t="s">
        <v>1194</v>
      </c>
      <c r="H871" s="71" t="s">
        <v>1201</v>
      </c>
      <c r="I871" s="71" t="s">
        <v>362</v>
      </c>
    </row>
    <row r="872" spans="1:9" ht="43.5" x14ac:dyDescent="0.35">
      <c r="A872" s="195">
        <v>6</v>
      </c>
      <c r="B872" s="195">
        <v>94</v>
      </c>
      <c r="C872" s="195" t="s">
        <v>1294</v>
      </c>
      <c r="D872" s="64">
        <v>9830</v>
      </c>
      <c r="E872" s="195" t="s">
        <v>1192</v>
      </c>
      <c r="F872" s="71" t="s">
        <v>508</v>
      </c>
      <c r="G872" s="71" t="s">
        <v>1194</v>
      </c>
      <c r="H872" s="71" t="s">
        <v>1201</v>
      </c>
      <c r="I872" s="71" t="s">
        <v>1057</v>
      </c>
    </row>
    <row r="873" spans="1:9" ht="43.5" x14ac:dyDescent="0.35">
      <c r="A873" s="195">
        <v>6</v>
      </c>
      <c r="B873" s="195">
        <v>95</v>
      </c>
      <c r="C873" s="195" t="s">
        <v>1295</v>
      </c>
      <c r="D873" s="64">
        <v>2550</v>
      </c>
      <c r="E873" s="195" t="s">
        <v>1192</v>
      </c>
      <c r="F873" s="71" t="s">
        <v>508</v>
      </c>
      <c r="G873" s="71" t="s">
        <v>1194</v>
      </c>
      <c r="H873" s="71" t="s">
        <v>1201</v>
      </c>
      <c r="I873" s="71" t="s">
        <v>1082</v>
      </c>
    </row>
    <row r="874" spans="1:9" ht="58" x14ac:dyDescent="0.35">
      <c r="A874" s="195">
        <v>6</v>
      </c>
      <c r="B874" s="195">
        <v>96</v>
      </c>
      <c r="C874" s="195" t="s">
        <v>1296</v>
      </c>
      <c r="D874" s="195">
        <v>0</v>
      </c>
      <c r="E874" s="195" t="s">
        <v>1192</v>
      </c>
      <c r="F874" s="71" t="s">
        <v>508</v>
      </c>
      <c r="G874" s="71" t="s">
        <v>1194</v>
      </c>
      <c r="H874" s="71" t="s">
        <v>1201</v>
      </c>
      <c r="I874" s="71" t="s">
        <v>1013</v>
      </c>
    </row>
    <row r="875" spans="1:9" ht="43.5" x14ac:dyDescent="0.35">
      <c r="A875" s="195">
        <v>6</v>
      </c>
      <c r="B875" s="195">
        <v>97</v>
      </c>
      <c r="C875" s="195" t="s">
        <v>1297</v>
      </c>
      <c r="D875" s="64">
        <v>9990</v>
      </c>
      <c r="E875" s="195" t="s">
        <v>1192</v>
      </c>
      <c r="F875" s="71" t="s">
        <v>508</v>
      </c>
      <c r="G875" s="71" t="s">
        <v>1194</v>
      </c>
      <c r="H875" s="71" t="s">
        <v>1206</v>
      </c>
      <c r="I875" s="71" t="s">
        <v>362</v>
      </c>
    </row>
    <row r="876" spans="1:9" ht="43.5" x14ac:dyDescent="0.35">
      <c r="A876" s="195">
        <v>6</v>
      </c>
      <c r="B876" s="195">
        <v>98</v>
      </c>
      <c r="C876" s="195" t="s">
        <v>1298</v>
      </c>
      <c r="D876" s="64">
        <v>4640</v>
      </c>
      <c r="E876" s="195" t="s">
        <v>1192</v>
      </c>
      <c r="F876" s="71" t="s">
        <v>508</v>
      </c>
      <c r="G876" s="71" t="s">
        <v>1194</v>
      </c>
      <c r="H876" s="71" t="s">
        <v>1206</v>
      </c>
      <c r="I876" s="71" t="s">
        <v>1057</v>
      </c>
    </row>
    <row r="877" spans="1:9" ht="43.5" x14ac:dyDescent="0.35">
      <c r="A877" s="195">
        <v>6</v>
      </c>
      <c r="B877" s="195">
        <v>99</v>
      </c>
      <c r="C877" s="195" t="s">
        <v>1299</v>
      </c>
      <c r="D877" s="64">
        <v>5350</v>
      </c>
      <c r="E877" s="195" t="s">
        <v>1192</v>
      </c>
      <c r="F877" s="71" t="s">
        <v>508</v>
      </c>
      <c r="G877" s="71" t="s">
        <v>1194</v>
      </c>
      <c r="H877" s="71" t="s">
        <v>1206</v>
      </c>
      <c r="I877" s="71" t="s">
        <v>1082</v>
      </c>
    </row>
    <row r="878" spans="1:9" ht="58" x14ac:dyDescent="0.35">
      <c r="A878" s="195">
        <v>6</v>
      </c>
      <c r="B878" s="195">
        <v>100</v>
      </c>
      <c r="C878" s="195" t="s">
        <v>1300</v>
      </c>
      <c r="D878" s="195">
        <v>0</v>
      </c>
      <c r="E878" s="195" t="s">
        <v>1192</v>
      </c>
      <c r="F878" s="71" t="s">
        <v>508</v>
      </c>
      <c r="G878" s="71" t="s">
        <v>1194</v>
      </c>
      <c r="H878" s="71" t="s">
        <v>1206</v>
      </c>
      <c r="I878" s="71" t="s">
        <v>1013</v>
      </c>
    </row>
    <row r="879" spans="1:9" ht="43.5" x14ac:dyDescent="0.35">
      <c r="A879" s="195">
        <v>6</v>
      </c>
      <c r="B879" s="195">
        <v>101</v>
      </c>
      <c r="C879" s="195" t="s">
        <v>1301</v>
      </c>
      <c r="D879" s="64">
        <v>10825</v>
      </c>
      <c r="E879" s="195" t="s">
        <v>1192</v>
      </c>
      <c r="F879" s="71" t="s">
        <v>508</v>
      </c>
      <c r="G879" s="71" t="s">
        <v>1194</v>
      </c>
      <c r="H879" s="71" t="s">
        <v>1211</v>
      </c>
      <c r="I879" s="71" t="s">
        <v>362</v>
      </c>
    </row>
    <row r="880" spans="1:9" ht="43.5" x14ac:dyDescent="0.35">
      <c r="A880" s="195">
        <v>6</v>
      </c>
      <c r="B880" s="195">
        <v>102</v>
      </c>
      <c r="C880" s="195" t="s">
        <v>1302</v>
      </c>
      <c r="D880" s="64">
        <v>2065</v>
      </c>
      <c r="E880" s="195" t="s">
        <v>1192</v>
      </c>
      <c r="F880" s="71" t="s">
        <v>508</v>
      </c>
      <c r="G880" s="71" t="s">
        <v>1194</v>
      </c>
      <c r="H880" s="71" t="s">
        <v>1211</v>
      </c>
      <c r="I880" s="71" t="s">
        <v>1057</v>
      </c>
    </row>
    <row r="881" spans="1:9" ht="43.5" x14ac:dyDescent="0.35">
      <c r="A881" s="195">
        <v>6</v>
      </c>
      <c r="B881" s="195">
        <v>103</v>
      </c>
      <c r="C881" s="195" t="s">
        <v>1303</v>
      </c>
      <c r="D881" s="64">
        <v>8765</v>
      </c>
      <c r="E881" s="195" t="s">
        <v>1192</v>
      </c>
      <c r="F881" s="71" t="s">
        <v>508</v>
      </c>
      <c r="G881" s="71" t="s">
        <v>1194</v>
      </c>
      <c r="H881" s="71" t="s">
        <v>1211</v>
      </c>
      <c r="I881" s="71" t="s">
        <v>1082</v>
      </c>
    </row>
    <row r="882" spans="1:9" ht="58" x14ac:dyDescent="0.35">
      <c r="A882" s="195">
        <v>6</v>
      </c>
      <c r="B882" s="195">
        <v>104</v>
      </c>
      <c r="C882" s="195" t="s">
        <v>1304</v>
      </c>
      <c r="D882" s="195">
        <v>0</v>
      </c>
      <c r="E882" s="195" t="s">
        <v>1192</v>
      </c>
      <c r="F882" s="71" t="s">
        <v>508</v>
      </c>
      <c r="G882" s="71" t="s">
        <v>1194</v>
      </c>
      <c r="H882" s="71" t="s">
        <v>1211</v>
      </c>
      <c r="I882" s="71" t="s">
        <v>1013</v>
      </c>
    </row>
    <row r="883" spans="1:9" ht="43.5" x14ac:dyDescent="0.35">
      <c r="A883" s="195">
        <v>6</v>
      </c>
      <c r="B883" s="195">
        <v>105</v>
      </c>
      <c r="C883" s="195" t="s">
        <v>1305</v>
      </c>
      <c r="D883" s="64">
        <v>107255</v>
      </c>
      <c r="E883" s="195" t="s">
        <v>1192</v>
      </c>
      <c r="F883" s="71" t="s">
        <v>508</v>
      </c>
      <c r="G883" s="71" t="s">
        <v>1216</v>
      </c>
      <c r="H883" s="71" t="s">
        <v>363</v>
      </c>
      <c r="I883" s="71" t="s">
        <v>362</v>
      </c>
    </row>
    <row r="884" spans="1:9" ht="43.5" x14ac:dyDescent="0.35">
      <c r="A884" s="195">
        <v>6</v>
      </c>
      <c r="B884" s="195">
        <v>106</v>
      </c>
      <c r="C884" s="195" t="s">
        <v>1306</v>
      </c>
      <c r="D884" s="64">
        <v>57475</v>
      </c>
      <c r="E884" s="195" t="s">
        <v>1192</v>
      </c>
      <c r="F884" s="71" t="s">
        <v>508</v>
      </c>
      <c r="G884" s="71" t="s">
        <v>1216</v>
      </c>
      <c r="H884" s="71" t="s">
        <v>1196</v>
      </c>
      <c r="I884" s="71" t="s">
        <v>362</v>
      </c>
    </row>
    <row r="885" spans="1:9" ht="43.5" x14ac:dyDescent="0.35">
      <c r="A885" s="195">
        <v>6</v>
      </c>
      <c r="B885" s="195">
        <v>107</v>
      </c>
      <c r="C885" s="195" t="s">
        <v>1307</v>
      </c>
      <c r="D885" s="64">
        <v>44440</v>
      </c>
      <c r="E885" s="195" t="s">
        <v>1192</v>
      </c>
      <c r="F885" s="71" t="s">
        <v>508</v>
      </c>
      <c r="G885" s="71" t="s">
        <v>1216</v>
      </c>
      <c r="H885" s="71" t="s">
        <v>1196</v>
      </c>
      <c r="I885" s="71" t="s">
        <v>1057</v>
      </c>
    </row>
    <row r="886" spans="1:9" ht="43.5" x14ac:dyDescent="0.35">
      <c r="A886" s="195">
        <v>6</v>
      </c>
      <c r="B886" s="195">
        <v>108</v>
      </c>
      <c r="C886" s="195" t="s">
        <v>1308</v>
      </c>
      <c r="D886" s="64">
        <v>10020</v>
      </c>
      <c r="E886" s="195" t="s">
        <v>1192</v>
      </c>
      <c r="F886" s="71" t="s">
        <v>508</v>
      </c>
      <c r="G886" s="71" t="s">
        <v>1216</v>
      </c>
      <c r="H886" s="71" t="s">
        <v>1196</v>
      </c>
      <c r="I886" s="71" t="s">
        <v>1082</v>
      </c>
    </row>
    <row r="887" spans="1:9" ht="58" x14ac:dyDescent="0.35">
      <c r="A887" s="195">
        <v>6</v>
      </c>
      <c r="B887" s="195">
        <v>109</v>
      </c>
      <c r="C887" s="195" t="s">
        <v>1309</v>
      </c>
      <c r="D887" s="64">
        <v>3015</v>
      </c>
      <c r="E887" s="195" t="s">
        <v>1192</v>
      </c>
      <c r="F887" s="71" t="s">
        <v>508</v>
      </c>
      <c r="G887" s="71" t="s">
        <v>1216</v>
      </c>
      <c r="H887" s="71" t="s">
        <v>1196</v>
      </c>
      <c r="I887" s="71" t="s">
        <v>1013</v>
      </c>
    </row>
    <row r="888" spans="1:9" ht="43.5" x14ac:dyDescent="0.35">
      <c r="A888" s="195">
        <v>6</v>
      </c>
      <c r="B888" s="195">
        <v>110</v>
      </c>
      <c r="C888" s="195" t="s">
        <v>1310</v>
      </c>
      <c r="D888" s="64">
        <v>22075</v>
      </c>
      <c r="E888" s="195" t="s">
        <v>1192</v>
      </c>
      <c r="F888" s="71" t="s">
        <v>508</v>
      </c>
      <c r="G888" s="71" t="s">
        <v>1216</v>
      </c>
      <c r="H888" s="71" t="s">
        <v>1201</v>
      </c>
      <c r="I888" s="71" t="s">
        <v>362</v>
      </c>
    </row>
    <row r="889" spans="1:9" ht="43.5" x14ac:dyDescent="0.35">
      <c r="A889" s="195">
        <v>6</v>
      </c>
      <c r="B889" s="195">
        <v>111</v>
      </c>
      <c r="C889" s="195" t="s">
        <v>1311</v>
      </c>
      <c r="D889" s="64">
        <v>17070</v>
      </c>
      <c r="E889" s="195" t="s">
        <v>1192</v>
      </c>
      <c r="F889" s="71" t="s">
        <v>508</v>
      </c>
      <c r="G889" s="71" t="s">
        <v>1216</v>
      </c>
      <c r="H889" s="71" t="s">
        <v>1201</v>
      </c>
      <c r="I889" s="71" t="s">
        <v>1057</v>
      </c>
    </row>
    <row r="890" spans="1:9" ht="43.5" x14ac:dyDescent="0.35">
      <c r="A890" s="195">
        <v>6</v>
      </c>
      <c r="B890" s="195">
        <v>112</v>
      </c>
      <c r="C890" s="195" t="s">
        <v>1312</v>
      </c>
      <c r="D890" s="64">
        <v>5005</v>
      </c>
      <c r="E890" s="195" t="s">
        <v>1192</v>
      </c>
      <c r="F890" s="71" t="s">
        <v>508</v>
      </c>
      <c r="G890" s="71" t="s">
        <v>1216</v>
      </c>
      <c r="H890" s="71" t="s">
        <v>1201</v>
      </c>
      <c r="I890" s="71" t="s">
        <v>1082</v>
      </c>
    </row>
    <row r="891" spans="1:9" ht="58" x14ac:dyDescent="0.35">
      <c r="A891" s="195">
        <v>6</v>
      </c>
      <c r="B891" s="195">
        <v>113</v>
      </c>
      <c r="C891" s="195" t="s">
        <v>1313</v>
      </c>
      <c r="D891" s="195">
        <v>0</v>
      </c>
      <c r="E891" s="195" t="s">
        <v>1192</v>
      </c>
      <c r="F891" s="71" t="s">
        <v>508</v>
      </c>
      <c r="G891" s="71" t="s">
        <v>1216</v>
      </c>
      <c r="H891" s="71" t="s">
        <v>1201</v>
      </c>
      <c r="I891" s="71" t="s">
        <v>1013</v>
      </c>
    </row>
    <row r="892" spans="1:9" ht="43.5" x14ac:dyDescent="0.35">
      <c r="A892" s="195">
        <v>6</v>
      </c>
      <c r="B892" s="195">
        <v>114</v>
      </c>
      <c r="C892" s="195" t="s">
        <v>1314</v>
      </c>
      <c r="D892" s="64">
        <v>14585</v>
      </c>
      <c r="E892" s="195" t="s">
        <v>1192</v>
      </c>
      <c r="F892" s="71" t="s">
        <v>508</v>
      </c>
      <c r="G892" s="71" t="s">
        <v>1216</v>
      </c>
      <c r="H892" s="71" t="s">
        <v>1206</v>
      </c>
      <c r="I892" s="71" t="s">
        <v>362</v>
      </c>
    </row>
    <row r="893" spans="1:9" ht="43.5" x14ac:dyDescent="0.35">
      <c r="A893" s="195">
        <v>6</v>
      </c>
      <c r="B893" s="195">
        <v>115</v>
      </c>
      <c r="C893" s="195" t="s">
        <v>1315</v>
      </c>
      <c r="D893" s="64">
        <v>6260</v>
      </c>
      <c r="E893" s="195" t="s">
        <v>1192</v>
      </c>
      <c r="F893" s="71" t="s">
        <v>508</v>
      </c>
      <c r="G893" s="71" t="s">
        <v>1216</v>
      </c>
      <c r="H893" s="71" t="s">
        <v>1206</v>
      </c>
      <c r="I893" s="71" t="s">
        <v>1057</v>
      </c>
    </row>
    <row r="894" spans="1:9" ht="43.5" x14ac:dyDescent="0.35">
      <c r="A894" s="195">
        <v>6</v>
      </c>
      <c r="B894" s="195">
        <v>116</v>
      </c>
      <c r="C894" s="195" t="s">
        <v>1316</v>
      </c>
      <c r="D894" s="64">
        <v>8325</v>
      </c>
      <c r="E894" s="195" t="s">
        <v>1192</v>
      </c>
      <c r="F894" s="71" t="s">
        <v>508</v>
      </c>
      <c r="G894" s="71" t="s">
        <v>1216</v>
      </c>
      <c r="H894" s="71" t="s">
        <v>1206</v>
      </c>
      <c r="I894" s="71" t="s">
        <v>1082</v>
      </c>
    </row>
    <row r="895" spans="1:9" ht="58" x14ac:dyDescent="0.35">
      <c r="A895" s="195">
        <v>6</v>
      </c>
      <c r="B895" s="195">
        <v>117</v>
      </c>
      <c r="C895" s="195" t="s">
        <v>1317</v>
      </c>
      <c r="D895" s="195">
        <v>0</v>
      </c>
      <c r="E895" s="195" t="s">
        <v>1192</v>
      </c>
      <c r="F895" s="71" t="s">
        <v>508</v>
      </c>
      <c r="G895" s="71" t="s">
        <v>1216</v>
      </c>
      <c r="H895" s="71" t="s">
        <v>1206</v>
      </c>
      <c r="I895" s="71" t="s">
        <v>1013</v>
      </c>
    </row>
    <row r="896" spans="1:9" ht="43.5" x14ac:dyDescent="0.35">
      <c r="A896" s="195">
        <v>6</v>
      </c>
      <c r="B896" s="195">
        <v>118</v>
      </c>
      <c r="C896" s="195" t="s">
        <v>1318</v>
      </c>
      <c r="D896" s="64">
        <v>13115</v>
      </c>
      <c r="E896" s="195" t="s">
        <v>1192</v>
      </c>
      <c r="F896" s="71" t="s">
        <v>508</v>
      </c>
      <c r="G896" s="71" t="s">
        <v>1216</v>
      </c>
      <c r="H896" s="71" t="s">
        <v>1211</v>
      </c>
      <c r="I896" s="71" t="s">
        <v>362</v>
      </c>
    </row>
    <row r="897" spans="1:9" ht="43.5" x14ac:dyDescent="0.35">
      <c r="A897" s="195">
        <v>6</v>
      </c>
      <c r="B897" s="195">
        <v>119</v>
      </c>
      <c r="C897" s="195" t="s">
        <v>1319</v>
      </c>
      <c r="D897" s="64">
        <v>2370</v>
      </c>
      <c r="E897" s="195" t="s">
        <v>1192</v>
      </c>
      <c r="F897" s="71" t="s">
        <v>508</v>
      </c>
      <c r="G897" s="71" t="s">
        <v>1216</v>
      </c>
      <c r="H897" s="71" t="s">
        <v>1211</v>
      </c>
      <c r="I897" s="71" t="s">
        <v>1057</v>
      </c>
    </row>
    <row r="898" spans="1:9" ht="43.5" x14ac:dyDescent="0.35">
      <c r="A898" s="195">
        <v>6</v>
      </c>
      <c r="B898" s="195">
        <v>120</v>
      </c>
      <c r="C898" s="195" t="s">
        <v>1320</v>
      </c>
      <c r="D898" s="64">
        <v>10745</v>
      </c>
      <c r="E898" s="195" t="s">
        <v>1192</v>
      </c>
      <c r="F898" s="71" t="s">
        <v>508</v>
      </c>
      <c r="G898" s="71" t="s">
        <v>1216</v>
      </c>
      <c r="H898" s="71" t="s">
        <v>1211</v>
      </c>
      <c r="I898" s="71" t="s">
        <v>1082</v>
      </c>
    </row>
    <row r="899" spans="1:9" ht="58" x14ac:dyDescent="0.35">
      <c r="A899" s="195">
        <v>6</v>
      </c>
      <c r="B899" s="195">
        <v>121</v>
      </c>
      <c r="C899" s="195" t="s">
        <v>1321</v>
      </c>
      <c r="D899" s="195">
        <v>0</v>
      </c>
      <c r="E899" s="195" t="s">
        <v>1192</v>
      </c>
      <c r="F899" s="71" t="s">
        <v>508</v>
      </c>
      <c r="G899" s="71" t="s">
        <v>1216</v>
      </c>
      <c r="H899" s="71" t="s">
        <v>1211</v>
      </c>
      <c r="I899" s="71" t="s">
        <v>1013</v>
      </c>
    </row>
    <row r="900" spans="1:9" ht="29" x14ac:dyDescent="0.35">
      <c r="A900" s="195">
        <v>6</v>
      </c>
      <c r="B900" s="195">
        <v>122</v>
      </c>
      <c r="C900" s="195" t="s">
        <v>1322</v>
      </c>
      <c r="D900" s="64">
        <v>66640</v>
      </c>
      <c r="E900" s="195" t="s">
        <v>1192</v>
      </c>
      <c r="F900" s="71" t="s">
        <v>508</v>
      </c>
      <c r="G900" s="71" t="s">
        <v>1234</v>
      </c>
      <c r="H900" s="71" t="s">
        <v>363</v>
      </c>
      <c r="I900" s="71" t="s">
        <v>362</v>
      </c>
    </row>
    <row r="901" spans="1:9" ht="43.5" x14ac:dyDescent="0.35">
      <c r="A901" s="195">
        <v>6</v>
      </c>
      <c r="B901" s="195">
        <v>123</v>
      </c>
      <c r="C901" s="195" t="s">
        <v>1323</v>
      </c>
      <c r="D901" s="64">
        <v>33760</v>
      </c>
      <c r="E901" s="195" t="s">
        <v>1192</v>
      </c>
      <c r="F901" s="71" t="s">
        <v>508</v>
      </c>
      <c r="G901" s="71" t="s">
        <v>1234</v>
      </c>
      <c r="H901" s="71" t="s">
        <v>1196</v>
      </c>
      <c r="I901" s="71" t="s">
        <v>362</v>
      </c>
    </row>
    <row r="902" spans="1:9" ht="43.5" x14ac:dyDescent="0.35">
      <c r="A902" s="195">
        <v>6</v>
      </c>
      <c r="B902" s="195">
        <v>124</v>
      </c>
      <c r="C902" s="195" t="s">
        <v>1324</v>
      </c>
      <c r="D902" s="64">
        <v>26705</v>
      </c>
      <c r="E902" s="195" t="s">
        <v>1192</v>
      </c>
      <c r="F902" s="71" t="s">
        <v>508</v>
      </c>
      <c r="G902" s="71" t="s">
        <v>1234</v>
      </c>
      <c r="H902" s="71" t="s">
        <v>1196</v>
      </c>
      <c r="I902" s="71" t="s">
        <v>1057</v>
      </c>
    </row>
    <row r="903" spans="1:9" ht="43.5" x14ac:dyDescent="0.35">
      <c r="A903" s="195">
        <v>6</v>
      </c>
      <c r="B903" s="195">
        <v>125</v>
      </c>
      <c r="C903" s="195" t="s">
        <v>1325</v>
      </c>
      <c r="D903" s="64">
        <v>5085</v>
      </c>
      <c r="E903" s="195" t="s">
        <v>1192</v>
      </c>
      <c r="F903" s="71" t="s">
        <v>508</v>
      </c>
      <c r="G903" s="71" t="s">
        <v>1234</v>
      </c>
      <c r="H903" s="71" t="s">
        <v>1196</v>
      </c>
      <c r="I903" s="71" t="s">
        <v>1082</v>
      </c>
    </row>
    <row r="904" spans="1:9" ht="58" x14ac:dyDescent="0.35">
      <c r="A904" s="195">
        <v>6</v>
      </c>
      <c r="B904" s="195">
        <v>126</v>
      </c>
      <c r="C904" s="195" t="s">
        <v>1326</v>
      </c>
      <c r="D904" s="64">
        <v>1970</v>
      </c>
      <c r="E904" s="195" t="s">
        <v>1192</v>
      </c>
      <c r="F904" s="71" t="s">
        <v>508</v>
      </c>
      <c r="G904" s="71" t="s">
        <v>1234</v>
      </c>
      <c r="H904" s="71" t="s">
        <v>1196</v>
      </c>
      <c r="I904" s="71" t="s">
        <v>1013</v>
      </c>
    </row>
    <row r="905" spans="1:9" ht="43.5" x14ac:dyDescent="0.35">
      <c r="A905" s="195">
        <v>6</v>
      </c>
      <c r="B905" s="195">
        <v>127</v>
      </c>
      <c r="C905" s="195" t="s">
        <v>1327</v>
      </c>
      <c r="D905" s="64">
        <v>13820</v>
      </c>
      <c r="E905" s="195" t="s">
        <v>1192</v>
      </c>
      <c r="F905" s="71" t="s">
        <v>508</v>
      </c>
      <c r="G905" s="71" t="s">
        <v>1234</v>
      </c>
      <c r="H905" s="71" t="s">
        <v>1201</v>
      </c>
      <c r="I905" s="71" t="s">
        <v>362</v>
      </c>
    </row>
    <row r="906" spans="1:9" ht="43.5" x14ac:dyDescent="0.35">
      <c r="A906" s="195">
        <v>6</v>
      </c>
      <c r="B906" s="195">
        <v>128</v>
      </c>
      <c r="C906" s="195" t="s">
        <v>1328</v>
      </c>
      <c r="D906" s="64">
        <v>11100</v>
      </c>
      <c r="E906" s="195" t="s">
        <v>1192</v>
      </c>
      <c r="F906" s="71" t="s">
        <v>508</v>
      </c>
      <c r="G906" s="71" t="s">
        <v>1234</v>
      </c>
      <c r="H906" s="71" t="s">
        <v>1201</v>
      </c>
      <c r="I906" s="71" t="s">
        <v>1057</v>
      </c>
    </row>
    <row r="907" spans="1:9" ht="43.5" x14ac:dyDescent="0.35">
      <c r="A907" s="195">
        <v>6</v>
      </c>
      <c r="B907" s="195">
        <v>129</v>
      </c>
      <c r="C907" s="195" t="s">
        <v>1329</v>
      </c>
      <c r="D907" s="64">
        <v>2715</v>
      </c>
      <c r="E907" s="195" t="s">
        <v>1192</v>
      </c>
      <c r="F907" s="71" t="s">
        <v>508</v>
      </c>
      <c r="G907" s="71" t="s">
        <v>1234</v>
      </c>
      <c r="H907" s="71" t="s">
        <v>1201</v>
      </c>
      <c r="I907" s="71" t="s">
        <v>1082</v>
      </c>
    </row>
    <row r="908" spans="1:9" ht="58" x14ac:dyDescent="0.35">
      <c r="A908" s="195">
        <v>6</v>
      </c>
      <c r="B908" s="195">
        <v>130</v>
      </c>
      <c r="C908" s="195" t="s">
        <v>1330</v>
      </c>
      <c r="D908" s="195">
        <v>0</v>
      </c>
      <c r="E908" s="195" t="s">
        <v>1192</v>
      </c>
      <c r="F908" s="71" t="s">
        <v>508</v>
      </c>
      <c r="G908" s="71" t="s">
        <v>1234</v>
      </c>
      <c r="H908" s="71" t="s">
        <v>1201</v>
      </c>
      <c r="I908" s="71" t="s">
        <v>1013</v>
      </c>
    </row>
    <row r="909" spans="1:9" ht="43.5" x14ac:dyDescent="0.35">
      <c r="A909" s="195">
        <v>6</v>
      </c>
      <c r="B909" s="195">
        <v>131</v>
      </c>
      <c r="C909" s="195" t="s">
        <v>1331</v>
      </c>
      <c r="D909" s="64">
        <v>9625</v>
      </c>
      <c r="E909" s="195" t="s">
        <v>1192</v>
      </c>
      <c r="F909" s="71" t="s">
        <v>508</v>
      </c>
      <c r="G909" s="71" t="s">
        <v>1234</v>
      </c>
      <c r="H909" s="71" t="s">
        <v>1206</v>
      </c>
      <c r="I909" s="71" t="s">
        <v>362</v>
      </c>
    </row>
    <row r="910" spans="1:9" ht="43.5" x14ac:dyDescent="0.35">
      <c r="A910" s="195">
        <v>6</v>
      </c>
      <c r="B910" s="195">
        <v>132</v>
      </c>
      <c r="C910" s="195" t="s">
        <v>1332</v>
      </c>
      <c r="D910" s="64">
        <v>4045</v>
      </c>
      <c r="E910" s="195" t="s">
        <v>1192</v>
      </c>
      <c r="F910" s="71" t="s">
        <v>508</v>
      </c>
      <c r="G910" s="71" t="s">
        <v>1234</v>
      </c>
      <c r="H910" s="71" t="s">
        <v>1206</v>
      </c>
      <c r="I910" s="71" t="s">
        <v>1057</v>
      </c>
    </row>
    <row r="911" spans="1:9" ht="43.5" x14ac:dyDescent="0.35">
      <c r="A911" s="195">
        <v>6</v>
      </c>
      <c r="B911" s="195">
        <v>133</v>
      </c>
      <c r="C911" s="195" t="s">
        <v>1333</v>
      </c>
      <c r="D911" s="64">
        <v>5585</v>
      </c>
      <c r="E911" s="195" t="s">
        <v>1192</v>
      </c>
      <c r="F911" s="71" t="s">
        <v>508</v>
      </c>
      <c r="G911" s="71" t="s">
        <v>1234</v>
      </c>
      <c r="H911" s="71" t="s">
        <v>1206</v>
      </c>
      <c r="I911" s="71" t="s">
        <v>1082</v>
      </c>
    </row>
    <row r="912" spans="1:9" ht="58" x14ac:dyDescent="0.35">
      <c r="A912" s="195">
        <v>6</v>
      </c>
      <c r="B912" s="195">
        <v>134</v>
      </c>
      <c r="C912" s="195" t="s">
        <v>1334</v>
      </c>
      <c r="D912" s="195">
        <v>0</v>
      </c>
      <c r="E912" s="195" t="s">
        <v>1192</v>
      </c>
      <c r="F912" s="71" t="s">
        <v>508</v>
      </c>
      <c r="G912" s="71" t="s">
        <v>1234</v>
      </c>
      <c r="H912" s="71" t="s">
        <v>1206</v>
      </c>
      <c r="I912" s="71" t="s">
        <v>1013</v>
      </c>
    </row>
    <row r="913" spans="1:9" ht="43.5" x14ac:dyDescent="0.35">
      <c r="A913" s="195">
        <v>6</v>
      </c>
      <c r="B913" s="195">
        <v>135</v>
      </c>
      <c r="C913" s="195" t="s">
        <v>1335</v>
      </c>
      <c r="D913" s="64">
        <v>9435</v>
      </c>
      <c r="E913" s="195" t="s">
        <v>1192</v>
      </c>
      <c r="F913" s="71" t="s">
        <v>508</v>
      </c>
      <c r="G913" s="71" t="s">
        <v>1234</v>
      </c>
      <c r="H913" s="71" t="s">
        <v>1211</v>
      </c>
      <c r="I913" s="71" t="s">
        <v>362</v>
      </c>
    </row>
    <row r="914" spans="1:9" ht="43.5" x14ac:dyDescent="0.35">
      <c r="A914" s="195">
        <v>6</v>
      </c>
      <c r="B914" s="195">
        <v>136</v>
      </c>
      <c r="C914" s="195" t="s">
        <v>1336</v>
      </c>
      <c r="D914" s="64">
        <v>1565</v>
      </c>
      <c r="E914" s="195" t="s">
        <v>1192</v>
      </c>
      <c r="F914" s="71" t="s">
        <v>508</v>
      </c>
      <c r="G914" s="71" t="s">
        <v>1234</v>
      </c>
      <c r="H914" s="71" t="s">
        <v>1211</v>
      </c>
      <c r="I914" s="71" t="s">
        <v>1057</v>
      </c>
    </row>
    <row r="915" spans="1:9" ht="43.5" x14ac:dyDescent="0.35">
      <c r="A915" s="195">
        <v>6</v>
      </c>
      <c r="B915" s="195">
        <v>137</v>
      </c>
      <c r="C915" s="195" t="s">
        <v>1337</v>
      </c>
      <c r="D915" s="64">
        <v>7870</v>
      </c>
      <c r="E915" s="195" t="s">
        <v>1192</v>
      </c>
      <c r="F915" s="71" t="s">
        <v>508</v>
      </c>
      <c r="G915" s="71" t="s">
        <v>1234</v>
      </c>
      <c r="H915" s="71" t="s">
        <v>1211</v>
      </c>
      <c r="I915" s="71" t="s">
        <v>1082</v>
      </c>
    </row>
    <row r="916" spans="1:9" ht="58" x14ac:dyDescent="0.35">
      <c r="A916" s="195">
        <v>6</v>
      </c>
      <c r="B916" s="195">
        <v>138</v>
      </c>
      <c r="C916" s="195" t="s">
        <v>1338</v>
      </c>
      <c r="D916" s="195">
        <v>0</v>
      </c>
      <c r="E916" s="195" t="s">
        <v>1192</v>
      </c>
      <c r="F916" s="71" t="s">
        <v>508</v>
      </c>
      <c r="G916" s="71" t="s">
        <v>1234</v>
      </c>
      <c r="H916" s="71" t="s">
        <v>1211</v>
      </c>
      <c r="I916" s="71" t="s">
        <v>1013</v>
      </c>
    </row>
    <row r="917" spans="1:9" ht="43.5" x14ac:dyDescent="0.35">
      <c r="A917" s="195">
        <v>6</v>
      </c>
      <c r="B917" s="195">
        <v>139</v>
      </c>
      <c r="C917" s="195" t="s">
        <v>1339</v>
      </c>
      <c r="D917" s="64">
        <v>79400</v>
      </c>
      <c r="E917" s="195" t="s">
        <v>1192</v>
      </c>
      <c r="F917" s="71" t="s">
        <v>508</v>
      </c>
      <c r="G917" s="71" t="s">
        <v>1252</v>
      </c>
      <c r="H917" s="71" t="s">
        <v>363</v>
      </c>
      <c r="I917" s="71" t="s">
        <v>362</v>
      </c>
    </row>
    <row r="918" spans="1:9" ht="43.5" x14ac:dyDescent="0.35">
      <c r="A918" s="195">
        <v>6</v>
      </c>
      <c r="B918" s="195">
        <v>140</v>
      </c>
      <c r="C918" s="195" t="s">
        <v>1340</v>
      </c>
      <c r="D918" s="64">
        <v>41690</v>
      </c>
      <c r="E918" s="195" t="s">
        <v>1192</v>
      </c>
      <c r="F918" s="71" t="s">
        <v>508</v>
      </c>
      <c r="G918" s="71" t="s">
        <v>1252</v>
      </c>
      <c r="H918" s="71" t="s">
        <v>1196</v>
      </c>
      <c r="I918" s="71" t="s">
        <v>362</v>
      </c>
    </row>
    <row r="919" spans="1:9" ht="43.5" x14ac:dyDescent="0.35">
      <c r="A919" s="195">
        <v>6</v>
      </c>
      <c r="B919" s="195">
        <v>141</v>
      </c>
      <c r="C919" s="195" t="s">
        <v>1341</v>
      </c>
      <c r="D919" s="64">
        <v>32480</v>
      </c>
      <c r="E919" s="195" t="s">
        <v>1192</v>
      </c>
      <c r="F919" s="71" t="s">
        <v>508</v>
      </c>
      <c r="G919" s="71" t="s">
        <v>1252</v>
      </c>
      <c r="H919" s="71" t="s">
        <v>1196</v>
      </c>
      <c r="I919" s="71" t="s">
        <v>1057</v>
      </c>
    </row>
    <row r="920" spans="1:9" ht="43.5" x14ac:dyDescent="0.35">
      <c r="A920" s="195">
        <v>6</v>
      </c>
      <c r="B920" s="195">
        <v>142</v>
      </c>
      <c r="C920" s="195" t="s">
        <v>1342</v>
      </c>
      <c r="D920" s="64">
        <v>7215</v>
      </c>
      <c r="E920" s="195" t="s">
        <v>1192</v>
      </c>
      <c r="F920" s="71" t="s">
        <v>508</v>
      </c>
      <c r="G920" s="71" t="s">
        <v>1252</v>
      </c>
      <c r="H920" s="71" t="s">
        <v>1196</v>
      </c>
      <c r="I920" s="71" t="s">
        <v>1082</v>
      </c>
    </row>
    <row r="921" spans="1:9" ht="58" x14ac:dyDescent="0.35">
      <c r="A921" s="195">
        <v>6</v>
      </c>
      <c r="B921" s="195">
        <v>143</v>
      </c>
      <c r="C921" s="195" t="s">
        <v>1343</v>
      </c>
      <c r="D921" s="64">
        <v>1995</v>
      </c>
      <c r="E921" s="195" t="s">
        <v>1192</v>
      </c>
      <c r="F921" s="71" t="s">
        <v>508</v>
      </c>
      <c r="G921" s="71" t="s">
        <v>1252</v>
      </c>
      <c r="H921" s="71" t="s">
        <v>1196</v>
      </c>
      <c r="I921" s="71" t="s">
        <v>1013</v>
      </c>
    </row>
    <row r="922" spans="1:9" ht="43.5" x14ac:dyDescent="0.35">
      <c r="A922" s="195">
        <v>6</v>
      </c>
      <c r="B922" s="195">
        <v>144</v>
      </c>
      <c r="C922" s="195" t="s">
        <v>1344</v>
      </c>
      <c r="D922" s="64">
        <v>16410</v>
      </c>
      <c r="E922" s="195" t="s">
        <v>1192</v>
      </c>
      <c r="F922" s="71" t="s">
        <v>508</v>
      </c>
      <c r="G922" s="71" t="s">
        <v>1252</v>
      </c>
      <c r="H922" s="71" t="s">
        <v>1201</v>
      </c>
      <c r="I922" s="71" t="s">
        <v>362</v>
      </c>
    </row>
    <row r="923" spans="1:9" ht="43.5" x14ac:dyDescent="0.35">
      <c r="A923" s="195">
        <v>6</v>
      </c>
      <c r="B923" s="195">
        <v>145</v>
      </c>
      <c r="C923" s="195" t="s">
        <v>1345</v>
      </c>
      <c r="D923" s="64">
        <v>12690</v>
      </c>
      <c r="E923" s="195" t="s">
        <v>1192</v>
      </c>
      <c r="F923" s="71" t="s">
        <v>508</v>
      </c>
      <c r="G923" s="71" t="s">
        <v>1252</v>
      </c>
      <c r="H923" s="71" t="s">
        <v>1201</v>
      </c>
      <c r="I923" s="71" t="s">
        <v>1057</v>
      </c>
    </row>
    <row r="924" spans="1:9" ht="43.5" x14ac:dyDescent="0.35">
      <c r="A924" s="195">
        <v>6</v>
      </c>
      <c r="B924" s="195">
        <v>146</v>
      </c>
      <c r="C924" s="195" t="s">
        <v>1346</v>
      </c>
      <c r="D924" s="64">
        <v>3715</v>
      </c>
      <c r="E924" s="195" t="s">
        <v>1192</v>
      </c>
      <c r="F924" s="71" t="s">
        <v>508</v>
      </c>
      <c r="G924" s="71" t="s">
        <v>1252</v>
      </c>
      <c r="H924" s="71" t="s">
        <v>1201</v>
      </c>
      <c r="I924" s="71" t="s">
        <v>1082</v>
      </c>
    </row>
    <row r="925" spans="1:9" ht="58" x14ac:dyDescent="0.35">
      <c r="A925" s="195">
        <v>6</v>
      </c>
      <c r="B925" s="195">
        <v>147</v>
      </c>
      <c r="C925" s="195" t="s">
        <v>1347</v>
      </c>
      <c r="D925" s="195">
        <v>0</v>
      </c>
      <c r="E925" s="195" t="s">
        <v>1192</v>
      </c>
      <c r="F925" s="71" t="s">
        <v>508</v>
      </c>
      <c r="G925" s="71" t="s">
        <v>1252</v>
      </c>
      <c r="H925" s="71" t="s">
        <v>1201</v>
      </c>
      <c r="I925" s="71" t="s">
        <v>1013</v>
      </c>
    </row>
    <row r="926" spans="1:9" ht="43.5" x14ac:dyDescent="0.35">
      <c r="A926" s="195">
        <v>6</v>
      </c>
      <c r="B926" s="195">
        <v>148</v>
      </c>
      <c r="C926" s="195" t="s">
        <v>1348</v>
      </c>
      <c r="D926" s="64">
        <v>11080</v>
      </c>
      <c r="E926" s="195" t="s">
        <v>1192</v>
      </c>
      <c r="F926" s="71" t="s">
        <v>508</v>
      </c>
      <c r="G926" s="71" t="s">
        <v>1252</v>
      </c>
      <c r="H926" s="71" t="s">
        <v>1206</v>
      </c>
      <c r="I926" s="71" t="s">
        <v>362</v>
      </c>
    </row>
    <row r="927" spans="1:9" ht="43.5" x14ac:dyDescent="0.35">
      <c r="A927" s="195">
        <v>6</v>
      </c>
      <c r="B927" s="195">
        <v>149</v>
      </c>
      <c r="C927" s="195" t="s">
        <v>1349</v>
      </c>
      <c r="D927" s="64">
        <v>4895</v>
      </c>
      <c r="E927" s="195" t="s">
        <v>1192</v>
      </c>
      <c r="F927" s="71" t="s">
        <v>508</v>
      </c>
      <c r="G927" s="71" t="s">
        <v>1252</v>
      </c>
      <c r="H927" s="71" t="s">
        <v>1206</v>
      </c>
      <c r="I927" s="71" t="s">
        <v>1057</v>
      </c>
    </row>
    <row r="928" spans="1:9" ht="43.5" x14ac:dyDescent="0.35">
      <c r="A928" s="195">
        <v>6</v>
      </c>
      <c r="B928" s="195">
        <v>150</v>
      </c>
      <c r="C928" s="195" t="s">
        <v>1350</v>
      </c>
      <c r="D928" s="64">
        <v>6185</v>
      </c>
      <c r="E928" s="195" t="s">
        <v>1192</v>
      </c>
      <c r="F928" s="71" t="s">
        <v>508</v>
      </c>
      <c r="G928" s="71" t="s">
        <v>1252</v>
      </c>
      <c r="H928" s="71" t="s">
        <v>1206</v>
      </c>
      <c r="I928" s="71" t="s">
        <v>1082</v>
      </c>
    </row>
    <row r="929" spans="1:9" ht="58" x14ac:dyDescent="0.35">
      <c r="A929" s="195">
        <v>6</v>
      </c>
      <c r="B929" s="195">
        <v>151</v>
      </c>
      <c r="C929" s="195" t="s">
        <v>1351</v>
      </c>
      <c r="D929" s="195">
        <v>0</v>
      </c>
      <c r="E929" s="195" t="s">
        <v>1192</v>
      </c>
      <c r="F929" s="71" t="s">
        <v>508</v>
      </c>
      <c r="G929" s="71" t="s">
        <v>1252</v>
      </c>
      <c r="H929" s="71" t="s">
        <v>1206</v>
      </c>
      <c r="I929" s="71" t="s">
        <v>1013</v>
      </c>
    </row>
    <row r="930" spans="1:9" ht="43.5" x14ac:dyDescent="0.35">
      <c r="A930" s="195">
        <v>6</v>
      </c>
      <c r="B930" s="195">
        <v>152</v>
      </c>
      <c r="C930" s="195" t="s">
        <v>1352</v>
      </c>
      <c r="D930" s="64">
        <v>10220</v>
      </c>
      <c r="E930" s="195" t="s">
        <v>1192</v>
      </c>
      <c r="F930" s="71" t="s">
        <v>508</v>
      </c>
      <c r="G930" s="71" t="s">
        <v>1252</v>
      </c>
      <c r="H930" s="71" t="s">
        <v>1211</v>
      </c>
      <c r="I930" s="71" t="s">
        <v>362</v>
      </c>
    </row>
    <row r="931" spans="1:9" ht="43.5" x14ac:dyDescent="0.35">
      <c r="A931" s="195">
        <v>6</v>
      </c>
      <c r="B931" s="195">
        <v>153</v>
      </c>
      <c r="C931" s="195" t="s">
        <v>1353</v>
      </c>
      <c r="D931" s="64">
        <v>2145</v>
      </c>
      <c r="E931" s="195" t="s">
        <v>1192</v>
      </c>
      <c r="F931" s="71" t="s">
        <v>508</v>
      </c>
      <c r="G931" s="71" t="s">
        <v>1252</v>
      </c>
      <c r="H931" s="71" t="s">
        <v>1211</v>
      </c>
      <c r="I931" s="71" t="s">
        <v>1057</v>
      </c>
    </row>
    <row r="932" spans="1:9" ht="43.5" x14ac:dyDescent="0.35">
      <c r="A932" s="195">
        <v>6</v>
      </c>
      <c r="B932" s="195">
        <v>154</v>
      </c>
      <c r="C932" s="195" t="s">
        <v>1354</v>
      </c>
      <c r="D932" s="64">
        <v>8075</v>
      </c>
      <c r="E932" s="195" t="s">
        <v>1192</v>
      </c>
      <c r="F932" s="71" t="s">
        <v>508</v>
      </c>
      <c r="G932" s="71" t="s">
        <v>1252</v>
      </c>
      <c r="H932" s="71" t="s">
        <v>1211</v>
      </c>
      <c r="I932" s="71" t="s">
        <v>1082</v>
      </c>
    </row>
    <row r="933" spans="1:9" ht="58" x14ac:dyDescent="0.35">
      <c r="A933" s="195">
        <v>6</v>
      </c>
      <c r="B933" s="195">
        <v>155</v>
      </c>
      <c r="C933" s="195" t="s">
        <v>1355</v>
      </c>
      <c r="D933" s="195">
        <v>0</v>
      </c>
      <c r="E933" s="195" t="s">
        <v>1192</v>
      </c>
      <c r="F933" s="71" t="s">
        <v>508</v>
      </c>
      <c r="G933" s="71" t="s">
        <v>1252</v>
      </c>
      <c r="H933" s="71" t="s">
        <v>1211</v>
      </c>
      <c r="I933" s="71" t="s">
        <v>1013</v>
      </c>
    </row>
    <row r="934" spans="1:9" ht="43.5" x14ac:dyDescent="0.35">
      <c r="A934" s="195">
        <v>6</v>
      </c>
      <c r="B934" s="195">
        <v>156</v>
      </c>
      <c r="C934" s="195" t="s">
        <v>1356</v>
      </c>
      <c r="D934" s="64">
        <v>677995</v>
      </c>
      <c r="E934" s="195" t="s">
        <v>1192</v>
      </c>
      <c r="F934" s="71" t="s">
        <v>508</v>
      </c>
      <c r="G934" s="71" t="s">
        <v>1270</v>
      </c>
      <c r="H934" s="71" t="s">
        <v>363</v>
      </c>
      <c r="I934" s="71" t="s">
        <v>362</v>
      </c>
    </row>
    <row r="935" spans="1:9" ht="43.5" x14ac:dyDescent="0.35">
      <c r="A935" s="195">
        <v>6</v>
      </c>
      <c r="B935" s="195">
        <v>157</v>
      </c>
      <c r="C935" s="195" t="s">
        <v>1357</v>
      </c>
      <c r="D935" s="64">
        <v>179550</v>
      </c>
      <c r="E935" s="195" t="s">
        <v>1192</v>
      </c>
      <c r="F935" s="71" t="s">
        <v>508</v>
      </c>
      <c r="G935" s="71" t="s">
        <v>1270</v>
      </c>
      <c r="H935" s="71" t="s">
        <v>1196</v>
      </c>
      <c r="I935" s="71" t="s">
        <v>362</v>
      </c>
    </row>
    <row r="936" spans="1:9" ht="43.5" x14ac:dyDescent="0.35">
      <c r="A936" s="195">
        <v>6</v>
      </c>
      <c r="B936" s="195">
        <v>158</v>
      </c>
      <c r="C936" s="195" t="s">
        <v>1358</v>
      </c>
      <c r="D936" s="64">
        <v>138755</v>
      </c>
      <c r="E936" s="195" t="s">
        <v>1192</v>
      </c>
      <c r="F936" s="71" t="s">
        <v>508</v>
      </c>
      <c r="G936" s="71" t="s">
        <v>1270</v>
      </c>
      <c r="H936" s="71" t="s">
        <v>1196</v>
      </c>
      <c r="I936" s="71" t="s">
        <v>1057</v>
      </c>
    </row>
    <row r="937" spans="1:9" ht="43.5" x14ac:dyDescent="0.35">
      <c r="A937" s="195">
        <v>6</v>
      </c>
      <c r="B937" s="195">
        <v>159</v>
      </c>
      <c r="C937" s="195" t="s">
        <v>1359</v>
      </c>
      <c r="D937" s="64">
        <v>15870</v>
      </c>
      <c r="E937" s="195" t="s">
        <v>1192</v>
      </c>
      <c r="F937" s="71" t="s">
        <v>508</v>
      </c>
      <c r="G937" s="71" t="s">
        <v>1270</v>
      </c>
      <c r="H937" s="71" t="s">
        <v>1196</v>
      </c>
      <c r="I937" s="71" t="s">
        <v>1082</v>
      </c>
    </row>
    <row r="938" spans="1:9" ht="58" x14ac:dyDescent="0.35">
      <c r="A938" s="195">
        <v>6</v>
      </c>
      <c r="B938" s="195">
        <v>160</v>
      </c>
      <c r="C938" s="195" t="s">
        <v>1360</v>
      </c>
      <c r="D938" s="64">
        <v>24920</v>
      </c>
      <c r="E938" s="195" t="s">
        <v>1192</v>
      </c>
      <c r="F938" s="71" t="s">
        <v>508</v>
      </c>
      <c r="G938" s="71" t="s">
        <v>1270</v>
      </c>
      <c r="H938" s="71" t="s">
        <v>1196</v>
      </c>
      <c r="I938" s="71" t="s">
        <v>1013</v>
      </c>
    </row>
    <row r="939" spans="1:9" ht="43.5" x14ac:dyDescent="0.35">
      <c r="A939" s="195">
        <v>6</v>
      </c>
      <c r="B939" s="195">
        <v>161</v>
      </c>
      <c r="C939" s="195" t="s">
        <v>1361</v>
      </c>
      <c r="D939" s="64">
        <v>113980</v>
      </c>
      <c r="E939" s="195" t="s">
        <v>1192</v>
      </c>
      <c r="F939" s="71" t="s">
        <v>508</v>
      </c>
      <c r="G939" s="71" t="s">
        <v>1270</v>
      </c>
      <c r="H939" s="71" t="s">
        <v>1201</v>
      </c>
      <c r="I939" s="71" t="s">
        <v>362</v>
      </c>
    </row>
    <row r="940" spans="1:9" ht="43.5" x14ac:dyDescent="0.35">
      <c r="A940" s="195">
        <v>6</v>
      </c>
      <c r="B940" s="195">
        <v>162</v>
      </c>
      <c r="C940" s="195" t="s">
        <v>1362</v>
      </c>
      <c r="D940" s="64">
        <v>92435</v>
      </c>
      <c r="E940" s="195" t="s">
        <v>1192</v>
      </c>
      <c r="F940" s="71" t="s">
        <v>508</v>
      </c>
      <c r="G940" s="71" t="s">
        <v>1270</v>
      </c>
      <c r="H940" s="71" t="s">
        <v>1201</v>
      </c>
      <c r="I940" s="71" t="s">
        <v>1057</v>
      </c>
    </row>
    <row r="941" spans="1:9" ht="43.5" x14ac:dyDescent="0.35">
      <c r="A941" s="195">
        <v>6</v>
      </c>
      <c r="B941" s="195">
        <v>163</v>
      </c>
      <c r="C941" s="195" t="s">
        <v>1363</v>
      </c>
      <c r="D941" s="64">
        <v>21545</v>
      </c>
      <c r="E941" s="195" t="s">
        <v>1192</v>
      </c>
      <c r="F941" s="71" t="s">
        <v>508</v>
      </c>
      <c r="G941" s="71" t="s">
        <v>1270</v>
      </c>
      <c r="H941" s="71" t="s">
        <v>1201</v>
      </c>
      <c r="I941" s="71" t="s">
        <v>1082</v>
      </c>
    </row>
    <row r="942" spans="1:9" ht="58" x14ac:dyDescent="0.35">
      <c r="A942" s="195">
        <v>6</v>
      </c>
      <c r="B942" s="195">
        <v>164</v>
      </c>
      <c r="C942" s="195" t="s">
        <v>1364</v>
      </c>
      <c r="D942" s="195">
        <v>0</v>
      </c>
      <c r="E942" s="195" t="s">
        <v>1192</v>
      </c>
      <c r="F942" s="71" t="s">
        <v>508</v>
      </c>
      <c r="G942" s="71" t="s">
        <v>1270</v>
      </c>
      <c r="H942" s="71" t="s">
        <v>1201</v>
      </c>
      <c r="I942" s="71" t="s">
        <v>1013</v>
      </c>
    </row>
    <row r="943" spans="1:9" ht="43.5" x14ac:dyDescent="0.35">
      <c r="A943" s="195">
        <v>6</v>
      </c>
      <c r="B943" s="195">
        <v>165</v>
      </c>
      <c r="C943" s="195" t="s">
        <v>1365</v>
      </c>
      <c r="D943" s="64">
        <v>128100</v>
      </c>
      <c r="E943" s="195" t="s">
        <v>1192</v>
      </c>
      <c r="F943" s="71" t="s">
        <v>508</v>
      </c>
      <c r="G943" s="71" t="s">
        <v>1270</v>
      </c>
      <c r="H943" s="71" t="s">
        <v>1206</v>
      </c>
      <c r="I943" s="71" t="s">
        <v>362</v>
      </c>
    </row>
    <row r="944" spans="1:9" ht="43.5" x14ac:dyDescent="0.35">
      <c r="A944" s="195">
        <v>6</v>
      </c>
      <c r="B944" s="195">
        <v>166</v>
      </c>
      <c r="C944" s="195" t="s">
        <v>1366</v>
      </c>
      <c r="D944" s="64">
        <v>52360</v>
      </c>
      <c r="E944" s="195" t="s">
        <v>1192</v>
      </c>
      <c r="F944" s="71" t="s">
        <v>508</v>
      </c>
      <c r="G944" s="71" t="s">
        <v>1270</v>
      </c>
      <c r="H944" s="71" t="s">
        <v>1206</v>
      </c>
      <c r="I944" s="71" t="s">
        <v>1057</v>
      </c>
    </row>
    <row r="945" spans="1:9" ht="43.5" x14ac:dyDescent="0.35">
      <c r="A945" s="195">
        <v>6</v>
      </c>
      <c r="B945" s="195">
        <v>167</v>
      </c>
      <c r="C945" s="195" t="s">
        <v>1367</v>
      </c>
      <c r="D945" s="64">
        <v>75735</v>
      </c>
      <c r="E945" s="195" t="s">
        <v>1192</v>
      </c>
      <c r="F945" s="71" t="s">
        <v>508</v>
      </c>
      <c r="G945" s="71" t="s">
        <v>1270</v>
      </c>
      <c r="H945" s="71" t="s">
        <v>1206</v>
      </c>
      <c r="I945" s="71" t="s">
        <v>1082</v>
      </c>
    </row>
    <row r="946" spans="1:9" ht="58" x14ac:dyDescent="0.35">
      <c r="A946" s="195">
        <v>6</v>
      </c>
      <c r="B946" s="195">
        <v>168</v>
      </c>
      <c r="C946" s="195" t="s">
        <v>1368</v>
      </c>
      <c r="D946" s="195">
        <v>0</v>
      </c>
      <c r="E946" s="195" t="s">
        <v>1192</v>
      </c>
      <c r="F946" s="71" t="s">
        <v>508</v>
      </c>
      <c r="G946" s="71" t="s">
        <v>1270</v>
      </c>
      <c r="H946" s="71" t="s">
        <v>1206</v>
      </c>
      <c r="I946" s="71" t="s">
        <v>1013</v>
      </c>
    </row>
    <row r="947" spans="1:9" ht="43.5" x14ac:dyDescent="0.35">
      <c r="A947" s="195">
        <v>6</v>
      </c>
      <c r="B947" s="195">
        <v>169</v>
      </c>
      <c r="C947" s="195" t="s">
        <v>1369</v>
      </c>
      <c r="D947" s="64">
        <v>256365</v>
      </c>
      <c r="E947" s="195" t="s">
        <v>1192</v>
      </c>
      <c r="F947" s="71" t="s">
        <v>508</v>
      </c>
      <c r="G947" s="71" t="s">
        <v>1270</v>
      </c>
      <c r="H947" s="71" t="s">
        <v>1211</v>
      </c>
      <c r="I947" s="71" t="s">
        <v>362</v>
      </c>
    </row>
    <row r="948" spans="1:9" ht="43.5" x14ac:dyDescent="0.35">
      <c r="A948" s="195">
        <v>6</v>
      </c>
      <c r="B948" s="195">
        <v>170</v>
      </c>
      <c r="C948" s="195" t="s">
        <v>1370</v>
      </c>
      <c r="D948" s="64">
        <v>28625</v>
      </c>
      <c r="E948" s="195" t="s">
        <v>1192</v>
      </c>
      <c r="F948" s="71" t="s">
        <v>508</v>
      </c>
      <c r="G948" s="71" t="s">
        <v>1270</v>
      </c>
      <c r="H948" s="71" t="s">
        <v>1211</v>
      </c>
      <c r="I948" s="71" t="s">
        <v>1057</v>
      </c>
    </row>
    <row r="949" spans="1:9" ht="43.5" x14ac:dyDescent="0.35">
      <c r="A949" s="195">
        <v>6</v>
      </c>
      <c r="B949" s="195">
        <v>171</v>
      </c>
      <c r="C949" s="195" t="s">
        <v>1371</v>
      </c>
      <c r="D949" s="64">
        <v>227745</v>
      </c>
      <c r="E949" s="195" t="s">
        <v>1192</v>
      </c>
      <c r="F949" s="71" t="s">
        <v>508</v>
      </c>
      <c r="G949" s="71" t="s">
        <v>1270</v>
      </c>
      <c r="H949" s="71" t="s">
        <v>1211</v>
      </c>
      <c r="I949" s="71" t="s">
        <v>1082</v>
      </c>
    </row>
    <row r="950" spans="1:9" ht="58" x14ac:dyDescent="0.35">
      <c r="A950" s="195">
        <v>6</v>
      </c>
      <c r="B950" s="195">
        <v>172</v>
      </c>
      <c r="C950" s="195" t="s">
        <v>1372</v>
      </c>
      <c r="D950" s="195">
        <v>0</v>
      </c>
      <c r="E950" s="195" t="s">
        <v>1192</v>
      </c>
      <c r="F950" s="71" t="s">
        <v>508</v>
      </c>
      <c r="G950" s="71" t="s">
        <v>1270</v>
      </c>
      <c r="H950" s="71" t="s">
        <v>1211</v>
      </c>
      <c r="I950" s="71" t="s">
        <v>1013</v>
      </c>
    </row>
    <row r="951" spans="1:9" ht="29" x14ac:dyDescent="0.35">
      <c r="A951" s="195">
        <v>7</v>
      </c>
      <c r="B951" s="195">
        <v>1</v>
      </c>
      <c r="C951" s="195" t="s">
        <v>1373</v>
      </c>
      <c r="D951" s="64">
        <v>1951605</v>
      </c>
      <c r="E951" s="195" t="s">
        <v>26</v>
      </c>
      <c r="F951" s="71" t="s">
        <v>361</v>
      </c>
      <c r="G951" s="71" t="s">
        <v>363</v>
      </c>
      <c r="H951" s="71" t="s">
        <v>982</v>
      </c>
      <c r="I951" s="71" t="s">
        <v>1374</v>
      </c>
    </row>
    <row r="952" spans="1:9" x14ac:dyDescent="0.35">
      <c r="A952" s="195">
        <v>7</v>
      </c>
      <c r="B952" s="195">
        <v>2</v>
      </c>
      <c r="C952" s="195" t="s">
        <v>1375</v>
      </c>
      <c r="D952" s="64">
        <v>1105170</v>
      </c>
      <c r="E952" s="195" t="s">
        <v>366</v>
      </c>
      <c r="F952" s="71" t="s">
        <v>367</v>
      </c>
      <c r="G952" s="71" t="s">
        <v>363</v>
      </c>
      <c r="H952" s="71" t="s">
        <v>982</v>
      </c>
      <c r="I952" s="71" t="s">
        <v>1374</v>
      </c>
    </row>
    <row r="953" spans="1:9" ht="43.5" x14ac:dyDescent="0.35">
      <c r="A953" s="195">
        <v>7</v>
      </c>
      <c r="B953" s="195">
        <v>3</v>
      </c>
      <c r="C953" s="195" t="s">
        <v>1376</v>
      </c>
      <c r="D953" s="64">
        <v>103685</v>
      </c>
      <c r="E953" s="195" t="s">
        <v>366</v>
      </c>
      <c r="F953" s="71" t="s">
        <v>367</v>
      </c>
      <c r="G953" s="71" t="s">
        <v>1377</v>
      </c>
      <c r="H953" s="71" t="s">
        <v>982</v>
      </c>
      <c r="I953" s="71" t="s">
        <v>1374</v>
      </c>
    </row>
    <row r="954" spans="1:9" ht="43.5" x14ac:dyDescent="0.35">
      <c r="A954" s="195">
        <v>7</v>
      </c>
      <c r="B954" s="195">
        <v>4</v>
      </c>
      <c r="C954" s="195" t="s">
        <v>1378</v>
      </c>
      <c r="D954" s="64">
        <v>13950</v>
      </c>
      <c r="E954" s="195" t="s">
        <v>366</v>
      </c>
      <c r="F954" s="71" t="s">
        <v>367</v>
      </c>
      <c r="G954" s="71" t="s">
        <v>1377</v>
      </c>
      <c r="H954" s="71" t="s">
        <v>1379</v>
      </c>
      <c r="I954" s="71" t="s">
        <v>1374</v>
      </c>
    </row>
    <row r="955" spans="1:9" ht="43.5" x14ac:dyDescent="0.35">
      <c r="A955" s="195">
        <v>7</v>
      </c>
      <c r="B955" s="195">
        <v>5</v>
      </c>
      <c r="C955" s="195" t="s">
        <v>1380</v>
      </c>
      <c r="D955" s="64">
        <v>1465</v>
      </c>
      <c r="E955" s="195" t="s">
        <v>373</v>
      </c>
      <c r="F955" s="71" t="s">
        <v>367</v>
      </c>
      <c r="G955" s="71" t="s">
        <v>1377</v>
      </c>
      <c r="H955" s="71" t="s">
        <v>1379</v>
      </c>
      <c r="I955" s="71" t="s">
        <v>1381</v>
      </c>
    </row>
    <row r="956" spans="1:9" ht="43.5" x14ac:dyDescent="0.35">
      <c r="A956" s="195">
        <v>7</v>
      </c>
      <c r="B956" s="195">
        <v>6</v>
      </c>
      <c r="C956" s="195" t="s">
        <v>1382</v>
      </c>
      <c r="D956" s="64">
        <v>2430</v>
      </c>
      <c r="E956" s="195" t="s">
        <v>373</v>
      </c>
      <c r="F956" s="71" t="s">
        <v>367</v>
      </c>
      <c r="G956" s="71" t="s">
        <v>1377</v>
      </c>
      <c r="H956" s="71" t="s">
        <v>1379</v>
      </c>
      <c r="I956" s="71" t="s">
        <v>1383</v>
      </c>
    </row>
    <row r="957" spans="1:9" ht="43.5" x14ac:dyDescent="0.35">
      <c r="A957" s="195">
        <v>7</v>
      </c>
      <c r="B957" s="195">
        <v>7</v>
      </c>
      <c r="C957" s="195" t="s">
        <v>1384</v>
      </c>
      <c r="D957" s="64">
        <v>9255</v>
      </c>
      <c r="E957" s="195" t="s">
        <v>373</v>
      </c>
      <c r="F957" s="71" t="s">
        <v>367</v>
      </c>
      <c r="G957" s="71" t="s">
        <v>1377</v>
      </c>
      <c r="H957" s="71" t="s">
        <v>1379</v>
      </c>
      <c r="I957" s="71" t="s">
        <v>1385</v>
      </c>
    </row>
    <row r="958" spans="1:9" ht="43.5" x14ac:dyDescent="0.35">
      <c r="A958" s="195">
        <v>7</v>
      </c>
      <c r="B958" s="195">
        <v>8</v>
      </c>
      <c r="C958" s="195" t="s">
        <v>1386</v>
      </c>
      <c r="D958" s="195">
        <v>800</v>
      </c>
      <c r="E958" s="195" t="s">
        <v>373</v>
      </c>
      <c r="F958" s="71" t="s">
        <v>367</v>
      </c>
      <c r="G958" s="71" t="s">
        <v>1377</v>
      </c>
      <c r="H958" s="71" t="s">
        <v>1379</v>
      </c>
      <c r="I958" s="71" t="s">
        <v>1387</v>
      </c>
    </row>
    <row r="959" spans="1:9" ht="58" x14ac:dyDescent="0.35">
      <c r="A959" s="195">
        <v>7</v>
      </c>
      <c r="B959" s="195">
        <v>9</v>
      </c>
      <c r="C959" s="195" t="s">
        <v>1388</v>
      </c>
      <c r="D959" s="64">
        <v>23795</v>
      </c>
      <c r="E959" s="195" t="s">
        <v>366</v>
      </c>
      <c r="F959" s="71" t="s">
        <v>367</v>
      </c>
      <c r="G959" s="71" t="s">
        <v>1377</v>
      </c>
      <c r="H959" s="71" t="s">
        <v>1389</v>
      </c>
      <c r="I959" s="71" t="s">
        <v>1374</v>
      </c>
    </row>
    <row r="960" spans="1:9" ht="58" x14ac:dyDescent="0.35">
      <c r="A960" s="195">
        <v>7</v>
      </c>
      <c r="B960" s="195">
        <v>10</v>
      </c>
      <c r="C960" s="195" t="s">
        <v>1390</v>
      </c>
      <c r="D960" s="64">
        <v>1520</v>
      </c>
      <c r="E960" s="195" t="s">
        <v>373</v>
      </c>
      <c r="F960" s="71" t="s">
        <v>367</v>
      </c>
      <c r="G960" s="71" t="s">
        <v>1377</v>
      </c>
      <c r="H960" s="71" t="s">
        <v>1389</v>
      </c>
      <c r="I960" s="71" t="s">
        <v>1381</v>
      </c>
    </row>
    <row r="961" spans="1:9" ht="58" x14ac:dyDescent="0.35">
      <c r="A961" s="195">
        <v>7</v>
      </c>
      <c r="B961" s="195">
        <v>11</v>
      </c>
      <c r="C961" s="195" t="s">
        <v>1391</v>
      </c>
      <c r="D961" s="64">
        <v>2585</v>
      </c>
      <c r="E961" s="195" t="s">
        <v>373</v>
      </c>
      <c r="F961" s="71" t="s">
        <v>367</v>
      </c>
      <c r="G961" s="71" t="s">
        <v>1377</v>
      </c>
      <c r="H961" s="71" t="s">
        <v>1389</v>
      </c>
      <c r="I961" s="71" t="s">
        <v>1383</v>
      </c>
    </row>
    <row r="962" spans="1:9" ht="58" x14ac:dyDescent="0.35">
      <c r="A962" s="195">
        <v>7</v>
      </c>
      <c r="B962" s="195">
        <v>12</v>
      </c>
      <c r="C962" s="195" t="s">
        <v>1392</v>
      </c>
      <c r="D962" s="64">
        <v>17730</v>
      </c>
      <c r="E962" s="195" t="s">
        <v>373</v>
      </c>
      <c r="F962" s="71" t="s">
        <v>367</v>
      </c>
      <c r="G962" s="71" t="s">
        <v>1377</v>
      </c>
      <c r="H962" s="71" t="s">
        <v>1389</v>
      </c>
      <c r="I962" s="71" t="s">
        <v>1385</v>
      </c>
    </row>
    <row r="963" spans="1:9" ht="58" x14ac:dyDescent="0.35">
      <c r="A963" s="195">
        <v>7</v>
      </c>
      <c r="B963" s="195">
        <v>13</v>
      </c>
      <c r="C963" s="195" t="s">
        <v>1393</v>
      </c>
      <c r="D963" s="64">
        <v>1965</v>
      </c>
      <c r="E963" s="195" t="s">
        <v>373</v>
      </c>
      <c r="F963" s="71" t="s">
        <v>367</v>
      </c>
      <c r="G963" s="71" t="s">
        <v>1377</v>
      </c>
      <c r="H963" s="71" t="s">
        <v>1389</v>
      </c>
      <c r="I963" s="71" t="s">
        <v>1387</v>
      </c>
    </row>
    <row r="964" spans="1:9" ht="43.5" x14ac:dyDescent="0.35">
      <c r="A964" s="195">
        <v>7</v>
      </c>
      <c r="B964" s="195">
        <v>14</v>
      </c>
      <c r="C964" s="195" t="s">
        <v>1394</v>
      </c>
      <c r="D964" s="64">
        <v>7515</v>
      </c>
      <c r="E964" s="195" t="s">
        <v>366</v>
      </c>
      <c r="F964" s="71" t="s">
        <v>367</v>
      </c>
      <c r="G964" s="71" t="s">
        <v>1377</v>
      </c>
      <c r="H964" s="71" t="s">
        <v>1395</v>
      </c>
      <c r="I964" s="71" t="s">
        <v>1374</v>
      </c>
    </row>
    <row r="965" spans="1:9" ht="43.5" x14ac:dyDescent="0.35">
      <c r="A965" s="195">
        <v>7</v>
      </c>
      <c r="B965" s="195">
        <v>15</v>
      </c>
      <c r="C965" s="195" t="s">
        <v>1396</v>
      </c>
      <c r="D965" s="195">
        <v>600</v>
      </c>
      <c r="E965" s="195" t="s">
        <v>373</v>
      </c>
      <c r="F965" s="71" t="s">
        <v>367</v>
      </c>
      <c r="G965" s="71" t="s">
        <v>1377</v>
      </c>
      <c r="H965" s="71" t="s">
        <v>1395</v>
      </c>
      <c r="I965" s="71" t="s">
        <v>1381</v>
      </c>
    </row>
    <row r="966" spans="1:9" ht="43.5" x14ac:dyDescent="0.35">
      <c r="A966" s="195">
        <v>7</v>
      </c>
      <c r="B966" s="195">
        <v>16</v>
      </c>
      <c r="C966" s="195" t="s">
        <v>1397</v>
      </c>
      <c r="D966" s="64">
        <v>1225</v>
      </c>
      <c r="E966" s="195" t="s">
        <v>373</v>
      </c>
      <c r="F966" s="71" t="s">
        <v>367</v>
      </c>
      <c r="G966" s="71" t="s">
        <v>1377</v>
      </c>
      <c r="H966" s="71" t="s">
        <v>1395</v>
      </c>
      <c r="I966" s="71" t="s">
        <v>1383</v>
      </c>
    </row>
    <row r="967" spans="1:9" ht="43.5" x14ac:dyDescent="0.35">
      <c r="A967" s="195">
        <v>7</v>
      </c>
      <c r="B967" s="195">
        <v>17</v>
      </c>
      <c r="C967" s="195" t="s">
        <v>1398</v>
      </c>
      <c r="D967" s="64">
        <v>5465</v>
      </c>
      <c r="E967" s="195" t="s">
        <v>373</v>
      </c>
      <c r="F967" s="71" t="s">
        <v>367</v>
      </c>
      <c r="G967" s="71" t="s">
        <v>1377</v>
      </c>
      <c r="H967" s="71" t="s">
        <v>1395</v>
      </c>
      <c r="I967" s="71" t="s">
        <v>1385</v>
      </c>
    </row>
    <row r="968" spans="1:9" ht="43.5" x14ac:dyDescent="0.35">
      <c r="A968" s="195">
        <v>7</v>
      </c>
      <c r="B968" s="195">
        <v>18</v>
      </c>
      <c r="C968" s="195" t="s">
        <v>1399</v>
      </c>
      <c r="D968" s="195">
        <v>225</v>
      </c>
      <c r="E968" s="195" t="s">
        <v>373</v>
      </c>
      <c r="F968" s="71" t="s">
        <v>367</v>
      </c>
      <c r="G968" s="71" t="s">
        <v>1377</v>
      </c>
      <c r="H968" s="71" t="s">
        <v>1395</v>
      </c>
      <c r="I968" s="71" t="s">
        <v>1387</v>
      </c>
    </row>
    <row r="969" spans="1:9" ht="43.5" x14ac:dyDescent="0.35">
      <c r="A969" s="195">
        <v>7</v>
      </c>
      <c r="B969" s="195">
        <v>19</v>
      </c>
      <c r="C969" s="195" t="s">
        <v>1400</v>
      </c>
      <c r="D969" s="64">
        <v>38065</v>
      </c>
      <c r="E969" s="195" t="s">
        <v>366</v>
      </c>
      <c r="F969" s="71" t="s">
        <v>367</v>
      </c>
      <c r="G969" s="71" t="s">
        <v>1377</v>
      </c>
      <c r="H969" s="71" t="s">
        <v>1401</v>
      </c>
      <c r="I969" s="71" t="s">
        <v>1374</v>
      </c>
    </row>
    <row r="970" spans="1:9" ht="43.5" x14ac:dyDescent="0.35">
      <c r="A970" s="195">
        <v>7</v>
      </c>
      <c r="B970" s="195">
        <v>20</v>
      </c>
      <c r="C970" s="195" t="s">
        <v>1402</v>
      </c>
      <c r="D970" s="64">
        <v>4740</v>
      </c>
      <c r="E970" s="195" t="s">
        <v>373</v>
      </c>
      <c r="F970" s="71" t="s">
        <v>367</v>
      </c>
      <c r="G970" s="71" t="s">
        <v>1377</v>
      </c>
      <c r="H970" s="71" t="s">
        <v>1401</v>
      </c>
      <c r="I970" s="71" t="s">
        <v>1381</v>
      </c>
    </row>
    <row r="971" spans="1:9" ht="43.5" x14ac:dyDescent="0.35">
      <c r="A971" s="195">
        <v>7</v>
      </c>
      <c r="B971" s="195">
        <v>21</v>
      </c>
      <c r="C971" s="195" t="s">
        <v>1403</v>
      </c>
      <c r="D971" s="64">
        <v>6965</v>
      </c>
      <c r="E971" s="195" t="s">
        <v>373</v>
      </c>
      <c r="F971" s="71" t="s">
        <v>367</v>
      </c>
      <c r="G971" s="71" t="s">
        <v>1377</v>
      </c>
      <c r="H971" s="71" t="s">
        <v>1401</v>
      </c>
      <c r="I971" s="71" t="s">
        <v>1383</v>
      </c>
    </row>
    <row r="972" spans="1:9" ht="43.5" x14ac:dyDescent="0.35">
      <c r="A972" s="195">
        <v>7</v>
      </c>
      <c r="B972" s="195">
        <v>22</v>
      </c>
      <c r="C972" s="195" t="s">
        <v>1404</v>
      </c>
      <c r="D972" s="64">
        <v>23590</v>
      </c>
      <c r="E972" s="195" t="s">
        <v>373</v>
      </c>
      <c r="F972" s="71" t="s">
        <v>367</v>
      </c>
      <c r="G972" s="71" t="s">
        <v>1377</v>
      </c>
      <c r="H972" s="71" t="s">
        <v>1401</v>
      </c>
      <c r="I972" s="71" t="s">
        <v>1385</v>
      </c>
    </row>
    <row r="973" spans="1:9" ht="43.5" x14ac:dyDescent="0.35">
      <c r="A973" s="195">
        <v>7</v>
      </c>
      <c r="B973" s="195">
        <v>23</v>
      </c>
      <c r="C973" s="195" t="s">
        <v>1405</v>
      </c>
      <c r="D973" s="64">
        <v>2770</v>
      </c>
      <c r="E973" s="195" t="s">
        <v>373</v>
      </c>
      <c r="F973" s="71" t="s">
        <v>367</v>
      </c>
      <c r="G973" s="71" t="s">
        <v>1377</v>
      </c>
      <c r="H973" s="71" t="s">
        <v>1401</v>
      </c>
      <c r="I973" s="71" t="s">
        <v>1387</v>
      </c>
    </row>
    <row r="974" spans="1:9" ht="43.5" x14ac:dyDescent="0.35">
      <c r="A974" s="195">
        <v>7</v>
      </c>
      <c r="B974" s="195">
        <v>24</v>
      </c>
      <c r="C974" s="195" t="s">
        <v>1406</v>
      </c>
      <c r="D974" s="64">
        <v>20360</v>
      </c>
      <c r="E974" s="195" t="s">
        <v>366</v>
      </c>
      <c r="F974" s="71" t="s">
        <v>367</v>
      </c>
      <c r="G974" s="71" t="s">
        <v>1377</v>
      </c>
      <c r="H974" s="71" t="s">
        <v>1407</v>
      </c>
      <c r="I974" s="71" t="s">
        <v>1374</v>
      </c>
    </row>
    <row r="975" spans="1:9" ht="43.5" x14ac:dyDescent="0.35">
      <c r="A975" s="195">
        <v>7</v>
      </c>
      <c r="B975" s="195">
        <v>25</v>
      </c>
      <c r="C975" s="195" t="s">
        <v>1408</v>
      </c>
      <c r="D975" s="195">
        <v>675</v>
      </c>
      <c r="E975" s="195" t="s">
        <v>373</v>
      </c>
      <c r="F975" s="71" t="s">
        <v>367</v>
      </c>
      <c r="G975" s="71" t="s">
        <v>1377</v>
      </c>
      <c r="H975" s="71" t="s">
        <v>1407</v>
      </c>
      <c r="I975" s="71" t="s">
        <v>1381</v>
      </c>
    </row>
    <row r="976" spans="1:9" ht="43.5" x14ac:dyDescent="0.35">
      <c r="A976" s="195">
        <v>7</v>
      </c>
      <c r="B976" s="195">
        <v>26</v>
      </c>
      <c r="C976" s="195" t="s">
        <v>1409</v>
      </c>
      <c r="D976" s="64">
        <v>1315</v>
      </c>
      <c r="E976" s="195" t="s">
        <v>373</v>
      </c>
      <c r="F976" s="71" t="s">
        <v>367</v>
      </c>
      <c r="G976" s="71" t="s">
        <v>1377</v>
      </c>
      <c r="H976" s="71" t="s">
        <v>1407</v>
      </c>
      <c r="I976" s="71" t="s">
        <v>1383</v>
      </c>
    </row>
    <row r="977" spans="1:9" ht="43.5" x14ac:dyDescent="0.35">
      <c r="A977" s="195">
        <v>7</v>
      </c>
      <c r="B977" s="195">
        <v>27</v>
      </c>
      <c r="C977" s="195" t="s">
        <v>1410</v>
      </c>
      <c r="D977" s="64">
        <v>13815</v>
      </c>
      <c r="E977" s="195" t="s">
        <v>373</v>
      </c>
      <c r="F977" s="71" t="s">
        <v>367</v>
      </c>
      <c r="G977" s="71" t="s">
        <v>1377</v>
      </c>
      <c r="H977" s="71" t="s">
        <v>1407</v>
      </c>
      <c r="I977" s="71" t="s">
        <v>1385</v>
      </c>
    </row>
    <row r="978" spans="1:9" ht="43.5" x14ac:dyDescent="0.35">
      <c r="A978" s="195">
        <v>7</v>
      </c>
      <c r="B978" s="195">
        <v>28</v>
      </c>
      <c r="C978" s="195" t="s">
        <v>1411</v>
      </c>
      <c r="D978" s="64">
        <v>4560</v>
      </c>
      <c r="E978" s="195" t="s">
        <v>373</v>
      </c>
      <c r="F978" s="71" t="s">
        <v>367</v>
      </c>
      <c r="G978" s="71" t="s">
        <v>1377</v>
      </c>
      <c r="H978" s="71" t="s">
        <v>1407</v>
      </c>
      <c r="I978" s="71" t="s">
        <v>1387</v>
      </c>
    </row>
    <row r="979" spans="1:9" ht="43.5" x14ac:dyDescent="0.35">
      <c r="A979" s="195">
        <v>7</v>
      </c>
      <c r="B979" s="195">
        <v>29</v>
      </c>
      <c r="C979" s="195" t="s">
        <v>1412</v>
      </c>
      <c r="D979" s="64">
        <v>118025</v>
      </c>
      <c r="E979" s="195" t="s">
        <v>366</v>
      </c>
      <c r="F979" s="71" t="s">
        <v>367</v>
      </c>
      <c r="G979" s="71" t="s">
        <v>1413</v>
      </c>
      <c r="H979" s="71" t="s">
        <v>982</v>
      </c>
      <c r="I979" s="71" t="s">
        <v>1374</v>
      </c>
    </row>
    <row r="980" spans="1:9" ht="43.5" x14ac:dyDescent="0.35">
      <c r="A980" s="195">
        <v>7</v>
      </c>
      <c r="B980" s="195">
        <v>30</v>
      </c>
      <c r="C980" s="195" t="s">
        <v>1414</v>
      </c>
      <c r="D980" s="64">
        <v>23390</v>
      </c>
      <c r="E980" s="195" t="s">
        <v>366</v>
      </c>
      <c r="F980" s="71" t="s">
        <v>367</v>
      </c>
      <c r="G980" s="71" t="s">
        <v>1413</v>
      </c>
      <c r="H980" s="71" t="s">
        <v>1379</v>
      </c>
      <c r="I980" s="71" t="s">
        <v>1374</v>
      </c>
    </row>
    <row r="981" spans="1:9" ht="43.5" x14ac:dyDescent="0.35">
      <c r="A981" s="195">
        <v>7</v>
      </c>
      <c r="B981" s="195">
        <v>31</v>
      </c>
      <c r="C981" s="195" t="s">
        <v>1415</v>
      </c>
      <c r="D981" s="64">
        <v>9045</v>
      </c>
      <c r="E981" s="195" t="s">
        <v>373</v>
      </c>
      <c r="F981" s="71" t="s">
        <v>367</v>
      </c>
      <c r="G981" s="71" t="s">
        <v>1413</v>
      </c>
      <c r="H981" s="71" t="s">
        <v>1379</v>
      </c>
      <c r="I981" s="71" t="s">
        <v>1381</v>
      </c>
    </row>
    <row r="982" spans="1:9" ht="43.5" x14ac:dyDescent="0.35">
      <c r="A982" s="195">
        <v>7</v>
      </c>
      <c r="B982" s="195">
        <v>32</v>
      </c>
      <c r="C982" s="195" t="s">
        <v>1416</v>
      </c>
      <c r="D982" s="64">
        <v>7515</v>
      </c>
      <c r="E982" s="195" t="s">
        <v>373</v>
      </c>
      <c r="F982" s="71" t="s">
        <v>367</v>
      </c>
      <c r="G982" s="71" t="s">
        <v>1413</v>
      </c>
      <c r="H982" s="71" t="s">
        <v>1379</v>
      </c>
      <c r="I982" s="71" t="s">
        <v>1383</v>
      </c>
    </row>
    <row r="983" spans="1:9" ht="43.5" x14ac:dyDescent="0.35">
      <c r="A983" s="195">
        <v>7</v>
      </c>
      <c r="B983" s="195">
        <v>33</v>
      </c>
      <c r="C983" s="195" t="s">
        <v>1417</v>
      </c>
      <c r="D983" s="64">
        <v>6830</v>
      </c>
      <c r="E983" s="195" t="s">
        <v>373</v>
      </c>
      <c r="F983" s="71" t="s">
        <v>367</v>
      </c>
      <c r="G983" s="71" t="s">
        <v>1413</v>
      </c>
      <c r="H983" s="71" t="s">
        <v>1379</v>
      </c>
      <c r="I983" s="71" t="s">
        <v>1385</v>
      </c>
    </row>
    <row r="984" spans="1:9" ht="43.5" x14ac:dyDescent="0.35">
      <c r="A984" s="195">
        <v>7</v>
      </c>
      <c r="B984" s="195">
        <v>34</v>
      </c>
      <c r="C984" s="195" t="s">
        <v>1418</v>
      </c>
      <c r="D984" s="195">
        <v>0</v>
      </c>
      <c r="E984" s="195" t="s">
        <v>373</v>
      </c>
      <c r="F984" s="71" t="s">
        <v>367</v>
      </c>
      <c r="G984" s="71" t="s">
        <v>1413</v>
      </c>
      <c r="H984" s="71" t="s">
        <v>1379</v>
      </c>
      <c r="I984" s="71" t="s">
        <v>1387</v>
      </c>
    </row>
    <row r="985" spans="1:9" ht="58" x14ac:dyDescent="0.35">
      <c r="A985" s="195">
        <v>7</v>
      </c>
      <c r="B985" s="195">
        <v>35</v>
      </c>
      <c r="C985" s="195" t="s">
        <v>1419</v>
      </c>
      <c r="D985" s="64">
        <v>31675</v>
      </c>
      <c r="E985" s="195" t="s">
        <v>366</v>
      </c>
      <c r="F985" s="71" t="s">
        <v>367</v>
      </c>
      <c r="G985" s="71" t="s">
        <v>1413</v>
      </c>
      <c r="H985" s="71" t="s">
        <v>1389</v>
      </c>
      <c r="I985" s="71" t="s">
        <v>1374</v>
      </c>
    </row>
    <row r="986" spans="1:9" ht="58" x14ac:dyDescent="0.35">
      <c r="A986" s="195">
        <v>7</v>
      </c>
      <c r="B986" s="195">
        <v>36</v>
      </c>
      <c r="C986" s="195" t="s">
        <v>1420</v>
      </c>
      <c r="D986" s="64">
        <v>7925</v>
      </c>
      <c r="E986" s="195" t="s">
        <v>373</v>
      </c>
      <c r="F986" s="71" t="s">
        <v>367</v>
      </c>
      <c r="G986" s="71" t="s">
        <v>1413</v>
      </c>
      <c r="H986" s="71" t="s">
        <v>1389</v>
      </c>
      <c r="I986" s="71" t="s">
        <v>1381</v>
      </c>
    </row>
    <row r="987" spans="1:9" ht="58" x14ac:dyDescent="0.35">
      <c r="A987" s="195">
        <v>7</v>
      </c>
      <c r="B987" s="195">
        <v>37</v>
      </c>
      <c r="C987" s="195" t="s">
        <v>1421</v>
      </c>
      <c r="D987" s="64">
        <v>9155</v>
      </c>
      <c r="E987" s="195" t="s">
        <v>373</v>
      </c>
      <c r="F987" s="71" t="s">
        <v>367</v>
      </c>
      <c r="G987" s="71" t="s">
        <v>1413</v>
      </c>
      <c r="H987" s="71" t="s">
        <v>1389</v>
      </c>
      <c r="I987" s="71" t="s">
        <v>1383</v>
      </c>
    </row>
    <row r="988" spans="1:9" ht="58" x14ac:dyDescent="0.35">
      <c r="A988" s="195">
        <v>7</v>
      </c>
      <c r="B988" s="195">
        <v>38</v>
      </c>
      <c r="C988" s="195" t="s">
        <v>1422</v>
      </c>
      <c r="D988" s="64">
        <v>14595</v>
      </c>
      <c r="E988" s="195" t="s">
        <v>373</v>
      </c>
      <c r="F988" s="71" t="s">
        <v>367</v>
      </c>
      <c r="G988" s="71" t="s">
        <v>1413</v>
      </c>
      <c r="H988" s="71" t="s">
        <v>1389</v>
      </c>
      <c r="I988" s="71" t="s">
        <v>1385</v>
      </c>
    </row>
    <row r="989" spans="1:9" ht="58" x14ac:dyDescent="0.35">
      <c r="A989" s="195">
        <v>7</v>
      </c>
      <c r="B989" s="195">
        <v>39</v>
      </c>
      <c r="C989" s="195" t="s">
        <v>1423</v>
      </c>
      <c r="D989" s="195">
        <v>0</v>
      </c>
      <c r="E989" s="195" t="s">
        <v>373</v>
      </c>
      <c r="F989" s="71" t="s">
        <v>367</v>
      </c>
      <c r="G989" s="71" t="s">
        <v>1413</v>
      </c>
      <c r="H989" s="71" t="s">
        <v>1389</v>
      </c>
      <c r="I989" s="71" t="s">
        <v>1387</v>
      </c>
    </row>
    <row r="990" spans="1:9" ht="43.5" x14ac:dyDescent="0.35">
      <c r="A990" s="195">
        <v>7</v>
      </c>
      <c r="B990" s="195">
        <v>40</v>
      </c>
      <c r="C990" s="195" t="s">
        <v>1424</v>
      </c>
      <c r="D990" s="64">
        <v>14000</v>
      </c>
      <c r="E990" s="195" t="s">
        <v>366</v>
      </c>
      <c r="F990" s="71" t="s">
        <v>367</v>
      </c>
      <c r="G990" s="71" t="s">
        <v>1413</v>
      </c>
      <c r="H990" s="71" t="s">
        <v>1395</v>
      </c>
      <c r="I990" s="71" t="s">
        <v>1374</v>
      </c>
    </row>
    <row r="991" spans="1:9" ht="43.5" x14ac:dyDescent="0.35">
      <c r="A991" s="195">
        <v>7</v>
      </c>
      <c r="B991" s="195">
        <v>41</v>
      </c>
      <c r="C991" s="195" t="s">
        <v>1425</v>
      </c>
      <c r="D991" s="64">
        <v>3685</v>
      </c>
      <c r="E991" s="195" t="s">
        <v>373</v>
      </c>
      <c r="F991" s="71" t="s">
        <v>367</v>
      </c>
      <c r="G991" s="71" t="s">
        <v>1413</v>
      </c>
      <c r="H991" s="71" t="s">
        <v>1395</v>
      </c>
      <c r="I991" s="71" t="s">
        <v>1381</v>
      </c>
    </row>
    <row r="992" spans="1:9" ht="43.5" x14ac:dyDescent="0.35">
      <c r="A992" s="195">
        <v>7</v>
      </c>
      <c r="B992" s="195">
        <v>42</v>
      </c>
      <c r="C992" s="195" t="s">
        <v>1426</v>
      </c>
      <c r="D992" s="64">
        <v>4980</v>
      </c>
      <c r="E992" s="195" t="s">
        <v>373</v>
      </c>
      <c r="F992" s="71" t="s">
        <v>367</v>
      </c>
      <c r="G992" s="71" t="s">
        <v>1413</v>
      </c>
      <c r="H992" s="71" t="s">
        <v>1395</v>
      </c>
      <c r="I992" s="71" t="s">
        <v>1383</v>
      </c>
    </row>
    <row r="993" spans="1:9" ht="43.5" x14ac:dyDescent="0.35">
      <c r="A993" s="195">
        <v>7</v>
      </c>
      <c r="B993" s="195">
        <v>43</v>
      </c>
      <c r="C993" s="195" t="s">
        <v>1427</v>
      </c>
      <c r="D993" s="64">
        <v>5335</v>
      </c>
      <c r="E993" s="195" t="s">
        <v>373</v>
      </c>
      <c r="F993" s="71" t="s">
        <v>367</v>
      </c>
      <c r="G993" s="71" t="s">
        <v>1413</v>
      </c>
      <c r="H993" s="71" t="s">
        <v>1395</v>
      </c>
      <c r="I993" s="71" t="s">
        <v>1385</v>
      </c>
    </row>
    <row r="994" spans="1:9" ht="43.5" x14ac:dyDescent="0.35">
      <c r="A994" s="195">
        <v>7</v>
      </c>
      <c r="B994" s="195">
        <v>44</v>
      </c>
      <c r="C994" s="195" t="s">
        <v>1428</v>
      </c>
      <c r="D994" s="195">
        <v>0</v>
      </c>
      <c r="E994" s="195" t="s">
        <v>373</v>
      </c>
      <c r="F994" s="71" t="s">
        <v>367</v>
      </c>
      <c r="G994" s="71" t="s">
        <v>1413</v>
      </c>
      <c r="H994" s="71" t="s">
        <v>1395</v>
      </c>
      <c r="I994" s="71" t="s">
        <v>1387</v>
      </c>
    </row>
    <row r="995" spans="1:9" ht="43.5" x14ac:dyDescent="0.35">
      <c r="A995" s="195">
        <v>7</v>
      </c>
      <c r="B995" s="195">
        <v>45</v>
      </c>
      <c r="C995" s="195" t="s">
        <v>1429</v>
      </c>
      <c r="D995" s="64">
        <v>36445</v>
      </c>
      <c r="E995" s="195" t="s">
        <v>366</v>
      </c>
      <c r="F995" s="71" t="s">
        <v>367</v>
      </c>
      <c r="G995" s="71" t="s">
        <v>1413</v>
      </c>
      <c r="H995" s="71" t="s">
        <v>1401</v>
      </c>
      <c r="I995" s="71" t="s">
        <v>1374</v>
      </c>
    </row>
    <row r="996" spans="1:9" ht="43.5" x14ac:dyDescent="0.35">
      <c r="A996" s="195">
        <v>7</v>
      </c>
      <c r="B996" s="195">
        <v>46</v>
      </c>
      <c r="C996" s="195" t="s">
        <v>1430</v>
      </c>
      <c r="D996" s="64">
        <v>14300</v>
      </c>
      <c r="E996" s="195" t="s">
        <v>373</v>
      </c>
      <c r="F996" s="71" t="s">
        <v>367</v>
      </c>
      <c r="G996" s="71" t="s">
        <v>1413</v>
      </c>
      <c r="H996" s="71" t="s">
        <v>1401</v>
      </c>
      <c r="I996" s="71" t="s">
        <v>1381</v>
      </c>
    </row>
    <row r="997" spans="1:9" ht="43.5" x14ac:dyDescent="0.35">
      <c r="A997" s="195">
        <v>7</v>
      </c>
      <c r="B997" s="195">
        <v>47</v>
      </c>
      <c r="C997" s="195" t="s">
        <v>1431</v>
      </c>
      <c r="D997" s="64">
        <v>11655</v>
      </c>
      <c r="E997" s="195" t="s">
        <v>373</v>
      </c>
      <c r="F997" s="71" t="s">
        <v>367</v>
      </c>
      <c r="G997" s="71" t="s">
        <v>1413</v>
      </c>
      <c r="H997" s="71" t="s">
        <v>1401</v>
      </c>
      <c r="I997" s="71" t="s">
        <v>1383</v>
      </c>
    </row>
    <row r="998" spans="1:9" ht="43.5" x14ac:dyDescent="0.35">
      <c r="A998" s="195">
        <v>7</v>
      </c>
      <c r="B998" s="195">
        <v>48</v>
      </c>
      <c r="C998" s="195" t="s">
        <v>1432</v>
      </c>
      <c r="D998" s="64">
        <v>10485</v>
      </c>
      <c r="E998" s="195" t="s">
        <v>373</v>
      </c>
      <c r="F998" s="71" t="s">
        <v>367</v>
      </c>
      <c r="G998" s="71" t="s">
        <v>1413</v>
      </c>
      <c r="H998" s="71" t="s">
        <v>1401</v>
      </c>
      <c r="I998" s="71" t="s">
        <v>1385</v>
      </c>
    </row>
    <row r="999" spans="1:9" ht="43.5" x14ac:dyDescent="0.35">
      <c r="A999" s="195">
        <v>7</v>
      </c>
      <c r="B999" s="195">
        <v>49</v>
      </c>
      <c r="C999" s="195" t="s">
        <v>1433</v>
      </c>
      <c r="D999" s="195">
        <v>0</v>
      </c>
      <c r="E999" s="195" t="s">
        <v>373</v>
      </c>
      <c r="F999" s="71" t="s">
        <v>367</v>
      </c>
      <c r="G999" s="71" t="s">
        <v>1413</v>
      </c>
      <c r="H999" s="71" t="s">
        <v>1401</v>
      </c>
      <c r="I999" s="71" t="s">
        <v>1387</v>
      </c>
    </row>
    <row r="1000" spans="1:9" ht="43.5" x14ac:dyDescent="0.35">
      <c r="A1000" s="195">
        <v>7</v>
      </c>
      <c r="B1000" s="195">
        <v>50</v>
      </c>
      <c r="C1000" s="195" t="s">
        <v>1434</v>
      </c>
      <c r="D1000" s="64">
        <v>12515</v>
      </c>
      <c r="E1000" s="195" t="s">
        <v>366</v>
      </c>
      <c r="F1000" s="71" t="s">
        <v>367</v>
      </c>
      <c r="G1000" s="71" t="s">
        <v>1413</v>
      </c>
      <c r="H1000" s="71" t="s">
        <v>1407</v>
      </c>
      <c r="I1000" s="71" t="s">
        <v>1374</v>
      </c>
    </row>
    <row r="1001" spans="1:9" ht="43.5" x14ac:dyDescent="0.35">
      <c r="A1001" s="195">
        <v>7</v>
      </c>
      <c r="B1001" s="195">
        <v>51</v>
      </c>
      <c r="C1001" s="195" t="s">
        <v>1435</v>
      </c>
      <c r="D1001" s="64">
        <v>2380</v>
      </c>
      <c r="E1001" s="195" t="s">
        <v>373</v>
      </c>
      <c r="F1001" s="71" t="s">
        <v>367</v>
      </c>
      <c r="G1001" s="71" t="s">
        <v>1413</v>
      </c>
      <c r="H1001" s="71" t="s">
        <v>1407</v>
      </c>
      <c r="I1001" s="71" t="s">
        <v>1381</v>
      </c>
    </row>
    <row r="1002" spans="1:9" ht="43.5" x14ac:dyDescent="0.35">
      <c r="A1002" s="195">
        <v>7</v>
      </c>
      <c r="B1002" s="195">
        <v>52</v>
      </c>
      <c r="C1002" s="195" t="s">
        <v>1436</v>
      </c>
      <c r="D1002" s="64">
        <v>3395</v>
      </c>
      <c r="E1002" s="195" t="s">
        <v>373</v>
      </c>
      <c r="F1002" s="71" t="s">
        <v>367</v>
      </c>
      <c r="G1002" s="71" t="s">
        <v>1413</v>
      </c>
      <c r="H1002" s="71" t="s">
        <v>1407</v>
      </c>
      <c r="I1002" s="71" t="s">
        <v>1383</v>
      </c>
    </row>
    <row r="1003" spans="1:9" ht="43.5" x14ac:dyDescent="0.35">
      <c r="A1003" s="195">
        <v>7</v>
      </c>
      <c r="B1003" s="195">
        <v>53</v>
      </c>
      <c r="C1003" s="195" t="s">
        <v>1437</v>
      </c>
      <c r="D1003" s="64">
        <v>6740</v>
      </c>
      <c r="E1003" s="195" t="s">
        <v>373</v>
      </c>
      <c r="F1003" s="71" t="s">
        <v>367</v>
      </c>
      <c r="G1003" s="71" t="s">
        <v>1413</v>
      </c>
      <c r="H1003" s="71" t="s">
        <v>1407</v>
      </c>
      <c r="I1003" s="71" t="s">
        <v>1385</v>
      </c>
    </row>
    <row r="1004" spans="1:9" ht="43.5" x14ac:dyDescent="0.35">
      <c r="A1004" s="195">
        <v>7</v>
      </c>
      <c r="B1004" s="195">
        <v>54</v>
      </c>
      <c r="C1004" s="195" t="s">
        <v>1438</v>
      </c>
      <c r="D1004" s="195">
        <v>0</v>
      </c>
      <c r="E1004" s="195" t="s">
        <v>373</v>
      </c>
      <c r="F1004" s="71" t="s">
        <v>367</v>
      </c>
      <c r="G1004" s="71" t="s">
        <v>1413</v>
      </c>
      <c r="H1004" s="71" t="s">
        <v>1407</v>
      </c>
      <c r="I1004" s="71" t="s">
        <v>1387</v>
      </c>
    </row>
    <row r="1005" spans="1:9" ht="43.5" x14ac:dyDescent="0.35">
      <c r="A1005" s="195">
        <v>7</v>
      </c>
      <c r="B1005" s="195">
        <v>55</v>
      </c>
      <c r="C1005" s="195" t="s">
        <v>1439</v>
      </c>
      <c r="D1005" s="64">
        <v>174115</v>
      </c>
      <c r="E1005" s="195" t="s">
        <v>366</v>
      </c>
      <c r="F1005" s="71" t="s">
        <v>367</v>
      </c>
      <c r="G1005" s="71" t="s">
        <v>1440</v>
      </c>
      <c r="H1005" s="71" t="s">
        <v>982</v>
      </c>
      <c r="I1005" s="71" t="s">
        <v>1374</v>
      </c>
    </row>
    <row r="1006" spans="1:9" ht="43.5" x14ac:dyDescent="0.35">
      <c r="A1006" s="195">
        <v>7</v>
      </c>
      <c r="B1006" s="195">
        <v>56</v>
      </c>
      <c r="C1006" s="195" t="s">
        <v>1441</v>
      </c>
      <c r="D1006" s="64">
        <v>33445</v>
      </c>
      <c r="E1006" s="195" t="s">
        <v>366</v>
      </c>
      <c r="F1006" s="71" t="s">
        <v>367</v>
      </c>
      <c r="G1006" s="71" t="s">
        <v>1440</v>
      </c>
      <c r="H1006" s="71" t="s">
        <v>1379</v>
      </c>
      <c r="I1006" s="71" t="s">
        <v>1374</v>
      </c>
    </row>
    <row r="1007" spans="1:9" ht="43.5" x14ac:dyDescent="0.35">
      <c r="A1007" s="195">
        <v>7</v>
      </c>
      <c r="B1007" s="195">
        <v>57</v>
      </c>
      <c r="C1007" s="195" t="s">
        <v>1442</v>
      </c>
      <c r="D1007" s="64">
        <v>20970</v>
      </c>
      <c r="E1007" s="195" t="s">
        <v>373</v>
      </c>
      <c r="F1007" s="71" t="s">
        <v>367</v>
      </c>
      <c r="G1007" s="71" t="s">
        <v>1440</v>
      </c>
      <c r="H1007" s="71" t="s">
        <v>1379</v>
      </c>
      <c r="I1007" s="71" t="s">
        <v>1381</v>
      </c>
    </row>
    <row r="1008" spans="1:9" ht="43.5" x14ac:dyDescent="0.35">
      <c r="A1008" s="195">
        <v>7</v>
      </c>
      <c r="B1008" s="195">
        <v>58</v>
      </c>
      <c r="C1008" s="195" t="s">
        <v>1443</v>
      </c>
      <c r="D1008" s="64">
        <v>8050</v>
      </c>
      <c r="E1008" s="195" t="s">
        <v>373</v>
      </c>
      <c r="F1008" s="71" t="s">
        <v>367</v>
      </c>
      <c r="G1008" s="71" t="s">
        <v>1440</v>
      </c>
      <c r="H1008" s="71" t="s">
        <v>1379</v>
      </c>
      <c r="I1008" s="71" t="s">
        <v>1383</v>
      </c>
    </row>
    <row r="1009" spans="1:9" ht="43.5" x14ac:dyDescent="0.35">
      <c r="A1009" s="195">
        <v>7</v>
      </c>
      <c r="B1009" s="195">
        <v>59</v>
      </c>
      <c r="C1009" s="195" t="s">
        <v>1444</v>
      </c>
      <c r="D1009" s="64">
        <v>4425</v>
      </c>
      <c r="E1009" s="195" t="s">
        <v>373</v>
      </c>
      <c r="F1009" s="71" t="s">
        <v>367</v>
      </c>
      <c r="G1009" s="71" t="s">
        <v>1440</v>
      </c>
      <c r="H1009" s="71" t="s">
        <v>1379</v>
      </c>
      <c r="I1009" s="71" t="s">
        <v>1385</v>
      </c>
    </row>
    <row r="1010" spans="1:9" ht="43.5" x14ac:dyDescent="0.35">
      <c r="A1010" s="195">
        <v>7</v>
      </c>
      <c r="B1010" s="195">
        <v>60</v>
      </c>
      <c r="C1010" s="195" t="s">
        <v>1445</v>
      </c>
      <c r="D1010" s="195">
        <v>0</v>
      </c>
      <c r="E1010" s="195" t="s">
        <v>373</v>
      </c>
      <c r="F1010" s="71" t="s">
        <v>367</v>
      </c>
      <c r="G1010" s="71" t="s">
        <v>1440</v>
      </c>
      <c r="H1010" s="71" t="s">
        <v>1379</v>
      </c>
      <c r="I1010" s="71" t="s">
        <v>1387</v>
      </c>
    </row>
    <row r="1011" spans="1:9" ht="58" x14ac:dyDescent="0.35">
      <c r="A1011" s="195">
        <v>7</v>
      </c>
      <c r="B1011" s="195">
        <v>61</v>
      </c>
      <c r="C1011" s="195" t="s">
        <v>1446</v>
      </c>
      <c r="D1011" s="64">
        <v>63175</v>
      </c>
      <c r="E1011" s="195" t="s">
        <v>366</v>
      </c>
      <c r="F1011" s="71" t="s">
        <v>367</v>
      </c>
      <c r="G1011" s="71" t="s">
        <v>1440</v>
      </c>
      <c r="H1011" s="71" t="s">
        <v>1389</v>
      </c>
      <c r="I1011" s="71" t="s">
        <v>1374</v>
      </c>
    </row>
    <row r="1012" spans="1:9" ht="58" x14ac:dyDescent="0.35">
      <c r="A1012" s="195">
        <v>7</v>
      </c>
      <c r="B1012" s="195">
        <v>62</v>
      </c>
      <c r="C1012" s="195" t="s">
        <v>1447</v>
      </c>
      <c r="D1012" s="64">
        <v>27405</v>
      </c>
      <c r="E1012" s="195" t="s">
        <v>373</v>
      </c>
      <c r="F1012" s="71" t="s">
        <v>367</v>
      </c>
      <c r="G1012" s="71" t="s">
        <v>1440</v>
      </c>
      <c r="H1012" s="71" t="s">
        <v>1389</v>
      </c>
      <c r="I1012" s="71" t="s">
        <v>1381</v>
      </c>
    </row>
    <row r="1013" spans="1:9" ht="58" x14ac:dyDescent="0.35">
      <c r="A1013" s="195">
        <v>7</v>
      </c>
      <c r="B1013" s="195">
        <v>63</v>
      </c>
      <c r="C1013" s="195" t="s">
        <v>1448</v>
      </c>
      <c r="D1013" s="64">
        <v>25100</v>
      </c>
      <c r="E1013" s="195" t="s">
        <v>373</v>
      </c>
      <c r="F1013" s="71" t="s">
        <v>367</v>
      </c>
      <c r="G1013" s="71" t="s">
        <v>1440</v>
      </c>
      <c r="H1013" s="71" t="s">
        <v>1389</v>
      </c>
      <c r="I1013" s="71" t="s">
        <v>1383</v>
      </c>
    </row>
    <row r="1014" spans="1:9" ht="58" x14ac:dyDescent="0.35">
      <c r="A1014" s="195">
        <v>7</v>
      </c>
      <c r="B1014" s="195">
        <v>64</v>
      </c>
      <c r="C1014" s="195" t="s">
        <v>1449</v>
      </c>
      <c r="D1014" s="64">
        <v>10670</v>
      </c>
      <c r="E1014" s="195" t="s">
        <v>373</v>
      </c>
      <c r="F1014" s="71" t="s">
        <v>367</v>
      </c>
      <c r="G1014" s="71" t="s">
        <v>1440</v>
      </c>
      <c r="H1014" s="71" t="s">
        <v>1389</v>
      </c>
      <c r="I1014" s="71" t="s">
        <v>1385</v>
      </c>
    </row>
    <row r="1015" spans="1:9" ht="58" x14ac:dyDescent="0.35">
      <c r="A1015" s="195">
        <v>7</v>
      </c>
      <c r="B1015" s="195">
        <v>65</v>
      </c>
      <c r="C1015" s="195" t="s">
        <v>1450</v>
      </c>
      <c r="D1015" s="195">
        <v>0</v>
      </c>
      <c r="E1015" s="195" t="s">
        <v>373</v>
      </c>
      <c r="F1015" s="71" t="s">
        <v>367</v>
      </c>
      <c r="G1015" s="71" t="s">
        <v>1440</v>
      </c>
      <c r="H1015" s="71" t="s">
        <v>1389</v>
      </c>
      <c r="I1015" s="71" t="s">
        <v>1387</v>
      </c>
    </row>
    <row r="1016" spans="1:9" ht="43.5" x14ac:dyDescent="0.35">
      <c r="A1016" s="195">
        <v>7</v>
      </c>
      <c r="B1016" s="195">
        <v>66</v>
      </c>
      <c r="C1016" s="195" t="s">
        <v>1451</v>
      </c>
      <c r="D1016" s="64">
        <v>22485</v>
      </c>
      <c r="E1016" s="195" t="s">
        <v>366</v>
      </c>
      <c r="F1016" s="71" t="s">
        <v>367</v>
      </c>
      <c r="G1016" s="71" t="s">
        <v>1440</v>
      </c>
      <c r="H1016" s="71" t="s">
        <v>1395</v>
      </c>
      <c r="I1016" s="71" t="s">
        <v>1374</v>
      </c>
    </row>
    <row r="1017" spans="1:9" ht="43.5" x14ac:dyDescent="0.35">
      <c r="A1017" s="195">
        <v>7</v>
      </c>
      <c r="B1017" s="195">
        <v>67</v>
      </c>
      <c r="C1017" s="195" t="s">
        <v>1452</v>
      </c>
      <c r="D1017" s="64">
        <v>11680</v>
      </c>
      <c r="E1017" s="195" t="s">
        <v>373</v>
      </c>
      <c r="F1017" s="71" t="s">
        <v>367</v>
      </c>
      <c r="G1017" s="71" t="s">
        <v>1440</v>
      </c>
      <c r="H1017" s="71" t="s">
        <v>1395</v>
      </c>
      <c r="I1017" s="71" t="s">
        <v>1381</v>
      </c>
    </row>
    <row r="1018" spans="1:9" ht="43.5" x14ac:dyDescent="0.35">
      <c r="A1018" s="195">
        <v>7</v>
      </c>
      <c r="B1018" s="195">
        <v>68</v>
      </c>
      <c r="C1018" s="195" t="s">
        <v>1453</v>
      </c>
      <c r="D1018" s="64">
        <v>8455</v>
      </c>
      <c r="E1018" s="195" t="s">
        <v>373</v>
      </c>
      <c r="F1018" s="71" t="s">
        <v>367</v>
      </c>
      <c r="G1018" s="71" t="s">
        <v>1440</v>
      </c>
      <c r="H1018" s="71" t="s">
        <v>1395</v>
      </c>
      <c r="I1018" s="71" t="s">
        <v>1383</v>
      </c>
    </row>
    <row r="1019" spans="1:9" ht="43.5" x14ac:dyDescent="0.35">
      <c r="A1019" s="195">
        <v>7</v>
      </c>
      <c r="B1019" s="195">
        <v>69</v>
      </c>
      <c r="C1019" s="195" t="s">
        <v>1454</v>
      </c>
      <c r="D1019" s="64">
        <v>2345</v>
      </c>
      <c r="E1019" s="195" t="s">
        <v>373</v>
      </c>
      <c r="F1019" s="71" t="s">
        <v>367</v>
      </c>
      <c r="G1019" s="71" t="s">
        <v>1440</v>
      </c>
      <c r="H1019" s="71" t="s">
        <v>1395</v>
      </c>
      <c r="I1019" s="71" t="s">
        <v>1385</v>
      </c>
    </row>
    <row r="1020" spans="1:9" ht="43.5" x14ac:dyDescent="0.35">
      <c r="A1020" s="195">
        <v>7</v>
      </c>
      <c r="B1020" s="195">
        <v>70</v>
      </c>
      <c r="C1020" s="195" t="s">
        <v>1455</v>
      </c>
      <c r="D1020" s="195">
        <v>0</v>
      </c>
      <c r="E1020" s="195" t="s">
        <v>373</v>
      </c>
      <c r="F1020" s="71" t="s">
        <v>367</v>
      </c>
      <c r="G1020" s="71" t="s">
        <v>1440</v>
      </c>
      <c r="H1020" s="71" t="s">
        <v>1395</v>
      </c>
      <c r="I1020" s="71" t="s">
        <v>1387</v>
      </c>
    </row>
    <row r="1021" spans="1:9" ht="43.5" x14ac:dyDescent="0.35">
      <c r="A1021" s="195">
        <v>7</v>
      </c>
      <c r="B1021" s="195">
        <v>71</v>
      </c>
      <c r="C1021" s="195" t="s">
        <v>1456</v>
      </c>
      <c r="D1021" s="64">
        <v>30760</v>
      </c>
      <c r="E1021" s="195" t="s">
        <v>366</v>
      </c>
      <c r="F1021" s="71" t="s">
        <v>367</v>
      </c>
      <c r="G1021" s="71" t="s">
        <v>1440</v>
      </c>
      <c r="H1021" s="71" t="s">
        <v>1401</v>
      </c>
      <c r="I1021" s="71" t="s">
        <v>1374</v>
      </c>
    </row>
    <row r="1022" spans="1:9" ht="43.5" x14ac:dyDescent="0.35">
      <c r="A1022" s="195">
        <v>7</v>
      </c>
      <c r="B1022" s="195">
        <v>72</v>
      </c>
      <c r="C1022" s="195" t="s">
        <v>1457</v>
      </c>
      <c r="D1022" s="64">
        <v>19345</v>
      </c>
      <c r="E1022" s="195" t="s">
        <v>373</v>
      </c>
      <c r="F1022" s="71" t="s">
        <v>367</v>
      </c>
      <c r="G1022" s="71" t="s">
        <v>1440</v>
      </c>
      <c r="H1022" s="71" t="s">
        <v>1401</v>
      </c>
      <c r="I1022" s="71" t="s">
        <v>1381</v>
      </c>
    </row>
    <row r="1023" spans="1:9" ht="43.5" x14ac:dyDescent="0.35">
      <c r="A1023" s="195">
        <v>7</v>
      </c>
      <c r="B1023" s="195">
        <v>73</v>
      </c>
      <c r="C1023" s="195" t="s">
        <v>1458</v>
      </c>
      <c r="D1023" s="64">
        <v>7605</v>
      </c>
      <c r="E1023" s="195" t="s">
        <v>373</v>
      </c>
      <c r="F1023" s="71" t="s">
        <v>367</v>
      </c>
      <c r="G1023" s="71" t="s">
        <v>1440</v>
      </c>
      <c r="H1023" s="71" t="s">
        <v>1401</v>
      </c>
      <c r="I1023" s="71" t="s">
        <v>1383</v>
      </c>
    </row>
    <row r="1024" spans="1:9" ht="43.5" x14ac:dyDescent="0.35">
      <c r="A1024" s="195">
        <v>7</v>
      </c>
      <c r="B1024" s="195">
        <v>74</v>
      </c>
      <c r="C1024" s="195" t="s">
        <v>1459</v>
      </c>
      <c r="D1024" s="64">
        <v>3810</v>
      </c>
      <c r="E1024" s="195" t="s">
        <v>373</v>
      </c>
      <c r="F1024" s="71" t="s">
        <v>367</v>
      </c>
      <c r="G1024" s="71" t="s">
        <v>1440</v>
      </c>
      <c r="H1024" s="71" t="s">
        <v>1401</v>
      </c>
      <c r="I1024" s="71" t="s">
        <v>1385</v>
      </c>
    </row>
    <row r="1025" spans="1:9" ht="43.5" x14ac:dyDescent="0.35">
      <c r="A1025" s="195">
        <v>7</v>
      </c>
      <c r="B1025" s="195">
        <v>75</v>
      </c>
      <c r="C1025" s="195" t="s">
        <v>1460</v>
      </c>
      <c r="D1025" s="195">
        <v>0</v>
      </c>
      <c r="E1025" s="195" t="s">
        <v>373</v>
      </c>
      <c r="F1025" s="71" t="s">
        <v>367</v>
      </c>
      <c r="G1025" s="71" t="s">
        <v>1440</v>
      </c>
      <c r="H1025" s="71" t="s">
        <v>1401</v>
      </c>
      <c r="I1025" s="71" t="s">
        <v>1387</v>
      </c>
    </row>
    <row r="1026" spans="1:9" ht="43.5" x14ac:dyDescent="0.35">
      <c r="A1026" s="195">
        <v>7</v>
      </c>
      <c r="B1026" s="195">
        <v>76</v>
      </c>
      <c r="C1026" s="195" t="s">
        <v>1461</v>
      </c>
      <c r="D1026" s="64">
        <v>24250</v>
      </c>
      <c r="E1026" s="195" t="s">
        <v>366</v>
      </c>
      <c r="F1026" s="71" t="s">
        <v>367</v>
      </c>
      <c r="G1026" s="71" t="s">
        <v>1440</v>
      </c>
      <c r="H1026" s="71" t="s">
        <v>1407</v>
      </c>
      <c r="I1026" s="71" t="s">
        <v>1374</v>
      </c>
    </row>
    <row r="1027" spans="1:9" ht="43.5" x14ac:dyDescent="0.35">
      <c r="A1027" s="195">
        <v>7</v>
      </c>
      <c r="B1027" s="195">
        <v>77</v>
      </c>
      <c r="C1027" s="195" t="s">
        <v>1462</v>
      </c>
      <c r="D1027" s="64">
        <v>9400</v>
      </c>
      <c r="E1027" s="195" t="s">
        <v>373</v>
      </c>
      <c r="F1027" s="71" t="s">
        <v>367</v>
      </c>
      <c r="G1027" s="71" t="s">
        <v>1440</v>
      </c>
      <c r="H1027" s="71" t="s">
        <v>1407</v>
      </c>
      <c r="I1027" s="71" t="s">
        <v>1381</v>
      </c>
    </row>
    <row r="1028" spans="1:9" ht="43.5" x14ac:dyDescent="0.35">
      <c r="A1028" s="195">
        <v>7</v>
      </c>
      <c r="B1028" s="195">
        <v>78</v>
      </c>
      <c r="C1028" s="195" t="s">
        <v>1463</v>
      </c>
      <c r="D1028" s="64">
        <v>8775</v>
      </c>
      <c r="E1028" s="195" t="s">
        <v>373</v>
      </c>
      <c r="F1028" s="71" t="s">
        <v>367</v>
      </c>
      <c r="G1028" s="71" t="s">
        <v>1440</v>
      </c>
      <c r="H1028" s="71" t="s">
        <v>1407</v>
      </c>
      <c r="I1028" s="71" t="s">
        <v>1383</v>
      </c>
    </row>
    <row r="1029" spans="1:9" ht="43.5" x14ac:dyDescent="0.35">
      <c r="A1029" s="195">
        <v>7</v>
      </c>
      <c r="B1029" s="195">
        <v>79</v>
      </c>
      <c r="C1029" s="195" t="s">
        <v>1464</v>
      </c>
      <c r="D1029" s="64">
        <v>6075</v>
      </c>
      <c r="E1029" s="195" t="s">
        <v>373</v>
      </c>
      <c r="F1029" s="71" t="s">
        <v>367</v>
      </c>
      <c r="G1029" s="71" t="s">
        <v>1440</v>
      </c>
      <c r="H1029" s="71" t="s">
        <v>1407</v>
      </c>
      <c r="I1029" s="71" t="s">
        <v>1385</v>
      </c>
    </row>
    <row r="1030" spans="1:9" ht="43.5" x14ac:dyDescent="0.35">
      <c r="A1030" s="195">
        <v>7</v>
      </c>
      <c r="B1030" s="195">
        <v>80</v>
      </c>
      <c r="C1030" s="195" t="s">
        <v>1465</v>
      </c>
      <c r="D1030" s="195">
        <v>0</v>
      </c>
      <c r="E1030" s="195" t="s">
        <v>373</v>
      </c>
      <c r="F1030" s="71" t="s">
        <v>367</v>
      </c>
      <c r="G1030" s="71" t="s">
        <v>1440</v>
      </c>
      <c r="H1030" s="71" t="s">
        <v>1407</v>
      </c>
      <c r="I1030" s="71" t="s">
        <v>1387</v>
      </c>
    </row>
    <row r="1031" spans="1:9" ht="43.5" x14ac:dyDescent="0.35">
      <c r="A1031" s="195">
        <v>7</v>
      </c>
      <c r="B1031" s="195">
        <v>81</v>
      </c>
      <c r="C1031" s="195" t="s">
        <v>1466</v>
      </c>
      <c r="D1031" s="64">
        <v>114210</v>
      </c>
      <c r="E1031" s="195" t="s">
        <v>366</v>
      </c>
      <c r="F1031" s="71" t="s">
        <v>367</v>
      </c>
      <c r="G1031" s="71" t="s">
        <v>1467</v>
      </c>
      <c r="H1031" s="71" t="s">
        <v>982</v>
      </c>
      <c r="I1031" s="71" t="s">
        <v>1374</v>
      </c>
    </row>
    <row r="1032" spans="1:9" ht="43.5" x14ac:dyDescent="0.35">
      <c r="A1032" s="195">
        <v>7</v>
      </c>
      <c r="B1032" s="195">
        <v>82</v>
      </c>
      <c r="C1032" s="195" t="s">
        <v>1468</v>
      </c>
      <c r="D1032" s="64">
        <v>19790</v>
      </c>
      <c r="E1032" s="195" t="s">
        <v>366</v>
      </c>
      <c r="F1032" s="71" t="s">
        <v>367</v>
      </c>
      <c r="G1032" s="71" t="s">
        <v>1467</v>
      </c>
      <c r="H1032" s="71" t="s">
        <v>1379</v>
      </c>
      <c r="I1032" s="71" t="s">
        <v>1374</v>
      </c>
    </row>
    <row r="1033" spans="1:9" ht="43.5" x14ac:dyDescent="0.35">
      <c r="A1033" s="195">
        <v>7</v>
      </c>
      <c r="B1033" s="195">
        <v>83</v>
      </c>
      <c r="C1033" s="195" t="s">
        <v>1469</v>
      </c>
      <c r="D1033" s="64">
        <v>14740</v>
      </c>
      <c r="E1033" s="195" t="s">
        <v>373</v>
      </c>
      <c r="F1033" s="71" t="s">
        <v>367</v>
      </c>
      <c r="G1033" s="71" t="s">
        <v>1467</v>
      </c>
      <c r="H1033" s="71" t="s">
        <v>1379</v>
      </c>
      <c r="I1033" s="71" t="s">
        <v>1381</v>
      </c>
    </row>
    <row r="1034" spans="1:9" ht="43.5" x14ac:dyDescent="0.35">
      <c r="A1034" s="195">
        <v>7</v>
      </c>
      <c r="B1034" s="195">
        <v>84</v>
      </c>
      <c r="C1034" s="195" t="s">
        <v>1470</v>
      </c>
      <c r="D1034" s="64">
        <v>4000</v>
      </c>
      <c r="E1034" s="195" t="s">
        <v>373</v>
      </c>
      <c r="F1034" s="71" t="s">
        <v>367</v>
      </c>
      <c r="G1034" s="71" t="s">
        <v>1467</v>
      </c>
      <c r="H1034" s="71" t="s">
        <v>1379</v>
      </c>
      <c r="I1034" s="71" t="s">
        <v>1383</v>
      </c>
    </row>
    <row r="1035" spans="1:9" ht="43.5" x14ac:dyDescent="0.35">
      <c r="A1035" s="195">
        <v>7</v>
      </c>
      <c r="B1035" s="195">
        <v>85</v>
      </c>
      <c r="C1035" s="195" t="s">
        <v>1471</v>
      </c>
      <c r="D1035" s="64">
        <v>1050</v>
      </c>
      <c r="E1035" s="195" t="s">
        <v>373</v>
      </c>
      <c r="F1035" s="71" t="s">
        <v>367</v>
      </c>
      <c r="G1035" s="71" t="s">
        <v>1467</v>
      </c>
      <c r="H1035" s="71" t="s">
        <v>1379</v>
      </c>
      <c r="I1035" s="71" t="s">
        <v>1385</v>
      </c>
    </row>
    <row r="1036" spans="1:9" ht="43.5" x14ac:dyDescent="0.35">
      <c r="A1036" s="195">
        <v>7</v>
      </c>
      <c r="B1036" s="195">
        <v>86</v>
      </c>
      <c r="C1036" s="195" t="s">
        <v>1472</v>
      </c>
      <c r="D1036" s="195">
        <v>0</v>
      </c>
      <c r="E1036" s="195" t="s">
        <v>373</v>
      </c>
      <c r="F1036" s="71" t="s">
        <v>367</v>
      </c>
      <c r="G1036" s="71" t="s">
        <v>1467</v>
      </c>
      <c r="H1036" s="71" t="s">
        <v>1379</v>
      </c>
      <c r="I1036" s="71" t="s">
        <v>1387</v>
      </c>
    </row>
    <row r="1037" spans="1:9" ht="58" x14ac:dyDescent="0.35">
      <c r="A1037" s="195">
        <v>7</v>
      </c>
      <c r="B1037" s="195">
        <v>87</v>
      </c>
      <c r="C1037" s="195" t="s">
        <v>1473</v>
      </c>
      <c r="D1037" s="64">
        <v>46705</v>
      </c>
      <c r="E1037" s="195" t="s">
        <v>366</v>
      </c>
      <c r="F1037" s="71" t="s">
        <v>367</v>
      </c>
      <c r="G1037" s="71" t="s">
        <v>1467</v>
      </c>
      <c r="H1037" s="71" t="s">
        <v>1389</v>
      </c>
      <c r="I1037" s="71" t="s">
        <v>1374</v>
      </c>
    </row>
    <row r="1038" spans="1:9" ht="58" x14ac:dyDescent="0.35">
      <c r="A1038" s="195">
        <v>7</v>
      </c>
      <c r="B1038" s="195">
        <v>88</v>
      </c>
      <c r="C1038" s="195" t="s">
        <v>1474</v>
      </c>
      <c r="D1038" s="64">
        <v>31045</v>
      </c>
      <c r="E1038" s="195" t="s">
        <v>373</v>
      </c>
      <c r="F1038" s="71" t="s">
        <v>367</v>
      </c>
      <c r="G1038" s="71" t="s">
        <v>1467</v>
      </c>
      <c r="H1038" s="71" t="s">
        <v>1389</v>
      </c>
      <c r="I1038" s="71" t="s">
        <v>1381</v>
      </c>
    </row>
    <row r="1039" spans="1:9" ht="58" x14ac:dyDescent="0.35">
      <c r="A1039" s="195">
        <v>7</v>
      </c>
      <c r="B1039" s="195">
        <v>89</v>
      </c>
      <c r="C1039" s="195" t="s">
        <v>1475</v>
      </c>
      <c r="D1039" s="64">
        <v>13160</v>
      </c>
      <c r="E1039" s="195" t="s">
        <v>373</v>
      </c>
      <c r="F1039" s="71" t="s">
        <v>367</v>
      </c>
      <c r="G1039" s="71" t="s">
        <v>1467</v>
      </c>
      <c r="H1039" s="71" t="s">
        <v>1389</v>
      </c>
      <c r="I1039" s="71" t="s">
        <v>1383</v>
      </c>
    </row>
    <row r="1040" spans="1:9" ht="58" x14ac:dyDescent="0.35">
      <c r="A1040" s="195">
        <v>7</v>
      </c>
      <c r="B1040" s="195">
        <v>90</v>
      </c>
      <c r="C1040" s="195" t="s">
        <v>1476</v>
      </c>
      <c r="D1040" s="64">
        <v>2500</v>
      </c>
      <c r="E1040" s="195" t="s">
        <v>373</v>
      </c>
      <c r="F1040" s="71" t="s">
        <v>367</v>
      </c>
      <c r="G1040" s="71" t="s">
        <v>1467</v>
      </c>
      <c r="H1040" s="71" t="s">
        <v>1389</v>
      </c>
      <c r="I1040" s="71" t="s">
        <v>1385</v>
      </c>
    </row>
    <row r="1041" spans="1:9" ht="58" x14ac:dyDescent="0.35">
      <c r="A1041" s="195">
        <v>7</v>
      </c>
      <c r="B1041" s="195">
        <v>91</v>
      </c>
      <c r="C1041" s="195" t="s">
        <v>1477</v>
      </c>
      <c r="D1041" s="195">
        <v>0</v>
      </c>
      <c r="E1041" s="195" t="s">
        <v>373</v>
      </c>
      <c r="F1041" s="71" t="s">
        <v>367</v>
      </c>
      <c r="G1041" s="71" t="s">
        <v>1467</v>
      </c>
      <c r="H1041" s="71" t="s">
        <v>1389</v>
      </c>
      <c r="I1041" s="71" t="s">
        <v>1387</v>
      </c>
    </row>
    <row r="1042" spans="1:9" ht="43.5" x14ac:dyDescent="0.35">
      <c r="A1042" s="195">
        <v>7</v>
      </c>
      <c r="B1042" s="195">
        <v>92</v>
      </c>
      <c r="C1042" s="195" t="s">
        <v>1478</v>
      </c>
      <c r="D1042" s="64">
        <v>15475</v>
      </c>
      <c r="E1042" s="195" t="s">
        <v>366</v>
      </c>
      <c r="F1042" s="71" t="s">
        <v>367</v>
      </c>
      <c r="G1042" s="71" t="s">
        <v>1467</v>
      </c>
      <c r="H1042" s="71" t="s">
        <v>1395</v>
      </c>
      <c r="I1042" s="71" t="s">
        <v>1374</v>
      </c>
    </row>
    <row r="1043" spans="1:9" ht="43.5" x14ac:dyDescent="0.35">
      <c r="A1043" s="195">
        <v>7</v>
      </c>
      <c r="B1043" s="195">
        <v>93</v>
      </c>
      <c r="C1043" s="195" t="s">
        <v>1479</v>
      </c>
      <c r="D1043" s="64">
        <v>11770</v>
      </c>
      <c r="E1043" s="195" t="s">
        <v>373</v>
      </c>
      <c r="F1043" s="71" t="s">
        <v>367</v>
      </c>
      <c r="G1043" s="71" t="s">
        <v>1467</v>
      </c>
      <c r="H1043" s="71" t="s">
        <v>1395</v>
      </c>
      <c r="I1043" s="71" t="s">
        <v>1381</v>
      </c>
    </row>
    <row r="1044" spans="1:9" ht="43.5" x14ac:dyDescent="0.35">
      <c r="A1044" s="195">
        <v>7</v>
      </c>
      <c r="B1044" s="195">
        <v>94</v>
      </c>
      <c r="C1044" s="195" t="s">
        <v>1480</v>
      </c>
      <c r="D1044" s="64">
        <v>3095</v>
      </c>
      <c r="E1044" s="195" t="s">
        <v>373</v>
      </c>
      <c r="F1044" s="71" t="s">
        <v>367</v>
      </c>
      <c r="G1044" s="71" t="s">
        <v>1467</v>
      </c>
      <c r="H1044" s="71" t="s">
        <v>1395</v>
      </c>
      <c r="I1044" s="71" t="s">
        <v>1383</v>
      </c>
    </row>
    <row r="1045" spans="1:9" ht="43.5" x14ac:dyDescent="0.35">
      <c r="A1045" s="195">
        <v>7</v>
      </c>
      <c r="B1045" s="195">
        <v>95</v>
      </c>
      <c r="C1045" s="195" t="s">
        <v>1481</v>
      </c>
      <c r="D1045" s="195">
        <v>610</v>
      </c>
      <c r="E1045" s="195" t="s">
        <v>373</v>
      </c>
      <c r="F1045" s="71" t="s">
        <v>367</v>
      </c>
      <c r="G1045" s="71" t="s">
        <v>1467</v>
      </c>
      <c r="H1045" s="71" t="s">
        <v>1395</v>
      </c>
      <c r="I1045" s="71" t="s">
        <v>1385</v>
      </c>
    </row>
    <row r="1046" spans="1:9" ht="43.5" x14ac:dyDescent="0.35">
      <c r="A1046" s="195">
        <v>7</v>
      </c>
      <c r="B1046" s="195">
        <v>96</v>
      </c>
      <c r="C1046" s="195" t="s">
        <v>1482</v>
      </c>
      <c r="D1046" s="195">
        <v>0</v>
      </c>
      <c r="E1046" s="195" t="s">
        <v>373</v>
      </c>
      <c r="F1046" s="71" t="s">
        <v>367</v>
      </c>
      <c r="G1046" s="71" t="s">
        <v>1467</v>
      </c>
      <c r="H1046" s="71" t="s">
        <v>1395</v>
      </c>
      <c r="I1046" s="71" t="s">
        <v>1387</v>
      </c>
    </row>
    <row r="1047" spans="1:9" ht="43.5" x14ac:dyDescent="0.35">
      <c r="A1047" s="195">
        <v>7</v>
      </c>
      <c r="B1047" s="195">
        <v>97</v>
      </c>
      <c r="C1047" s="195" t="s">
        <v>1483</v>
      </c>
      <c r="D1047" s="64">
        <v>13150</v>
      </c>
      <c r="E1047" s="195" t="s">
        <v>366</v>
      </c>
      <c r="F1047" s="71" t="s">
        <v>367</v>
      </c>
      <c r="G1047" s="71" t="s">
        <v>1467</v>
      </c>
      <c r="H1047" s="71" t="s">
        <v>1401</v>
      </c>
      <c r="I1047" s="71" t="s">
        <v>1374</v>
      </c>
    </row>
    <row r="1048" spans="1:9" ht="43.5" x14ac:dyDescent="0.35">
      <c r="A1048" s="195">
        <v>7</v>
      </c>
      <c r="B1048" s="195">
        <v>98</v>
      </c>
      <c r="C1048" s="195" t="s">
        <v>1484</v>
      </c>
      <c r="D1048" s="64">
        <v>9815</v>
      </c>
      <c r="E1048" s="195" t="s">
        <v>373</v>
      </c>
      <c r="F1048" s="71" t="s">
        <v>367</v>
      </c>
      <c r="G1048" s="71" t="s">
        <v>1467</v>
      </c>
      <c r="H1048" s="71" t="s">
        <v>1401</v>
      </c>
      <c r="I1048" s="71" t="s">
        <v>1381</v>
      </c>
    </row>
    <row r="1049" spans="1:9" ht="43.5" x14ac:dyDescent="0.35">
      <c r="A1049" s="195">
        <v>7</v>
      </c>
      <c r="B1049" s="195">
        <v>99</v>
      </c>
      <c r="C1049" s="195" t="s">
        <v>1485</v>
      </c>
      <c r="D1049" s="64">
        <v>2430</v>
      </c>
      <c r="E1049" s="195" t="s">
        <v>373</v>
      </c>
      <c r="F1049" s="71" t="s">
        <v>367</v>
      </c>
      <c r="G1049" s="71" t="s">
        <v>1467</v>
      </c>
      <c r="H1049" s="71" t="s">
        <v>1401</v>
      </c>
      <c r="I1049" s="71" t="s">
        <v>1383</v>
      </c>
    </row>
    <row r="1050" spans="1:9" ht="43.5" x14ac:dyDescent="0.35">
      <c r="A1050" s="195">
        <v>7</v>
      </c>
      <c r="B1050" s="195">
        <v>100</v>
      </c>
      <c r="C1050" s="195" t="s">
        <v>1486</v>
      </c>
      <c r="D1050" s="195">
        <v>910</v>
      </c>
      <c r="E1050" s="195" t="s">
        <v>373</v>
      </c>
      <c r="F1050" s="71" t="s">
        <v>367</v>
      </c>
      <c r="G1050" s="71" t="s">
        <v>1467</v>
      </c>
      <c r="H1050" s="71" t="s">
        <v>1401</v>
      </c>
      <c r="I1050" s="71" t="s">
        <v>1385</v>
      </c>
    </row>
    <row r="1051" spans="1:9" ht="43.5" x14ac:dyDescent="0.35">
      <c r="A1051" s="195">
        <v>7</v>
      </c>
      <c r="B1051" s="195">
        <v>101</v>
      </c>
      <c r="C1051" s="195" t="s">
        <v>1487</v>
      </c>
      <c r="D1051" s="195">
        <v>0</v>
      </c>
      <c r="E1051" s="195" t="s">
        <v>373</v>
      </c>
      <c r="F1051" s="71" t="s">
        <v>367</v>
      </c>
      <c r="G1051" s="71" t="s">
        <v>1467</v>
      </c>
      <c r="H1051" s="71" t="s">
        <v>1401</v>
      </c>
      <c r="I1051" s="71" t="s">
        <v>1387</v>
      </c>
    </row>
    <row r="1052" spans="1:9" ht="43.5" x14ac:dyDescent="0.35">
      <c r="A1052" s="195">
        <v>7</v>
      </c>
      <c r="B1052" s="195">
        <v>102</v>
      </c>
      <c r="C1052" s="195" t="s">
        <v>1488</v>
      </c>
      <c r="D1052" s="64">
        <v>19085</v>
      </c>
      <c r="E1052" s="195" t="s">
        <v>366</v>
      </c>
      <c r="F1052" s="71" t="s">
        <v>367</v>
      </c>
      <c r="G1052" s="71" t="s">
        <v>1467</v>
      </c>
      <c r="H1052" s="71" t="s">
        <v>1407</v>
      </c>
      <c r="I1052" s="71" t="s">
        <v>1374</v>
      </c>
    </row>
    <row r="1053" spans="1:9" ht="43.5" x14ac:dyDescent="0.35">
      <c r="A1053" s="195">
        <v>7</v>
      </c>
      <c r="B1053" s="195">
        <v>103</v>
      </c>
      <c r="C1053" s="195" t="s">
        <v>1489</v>
      </c>
      <c r="D1053" s="64">
        <v>10445</v>
      </c>
      <c r="E1053" s="195" t="s">
        <v>373</v>
      </c>
      <c r="F1053" s="71" t="s">
        <v>367</v>
      </c>
      <c r="G1053" s="71" t="s">
        <v>1467</v>
      </c>
      <c r="H1053" s="71" t="s">
        <v>1407</v>
      </c>
      <c r="I1053" s="71" t="s">
        <v>1381</v>
      </c>
    </row>
    <row r="1054" spans="1:9" ht="43.5" x14ac:dyDescent="0.35">
      <c r="A1054" s="195">
        <v>7</v>
      </c>
      <c r="B1054" s="195">
        <v>104</v>
      </c>
      <c r="C1054" s="195" t="s">
        <v>1490</v>
      </c>
      <c r="D1054" s="64">
        <v>6865</v>
      </c>
      <c r="E1054" s="195" t="s">
        <v>373</v>
      </c>
      <c r="F1054" s="71" t="s">
        <v>367</v>
      </c>
      <c r="G1054" s="71" t="s">
        <v>1467</v>
      </c>
      <c r="H1054" s="71" t="s">
        <v>1407</v>
      </c>
      <c r="I1054" s="71" t="s">
        <v>1383</v>
      </c>
    </row>
    <row r="1055" spans="1:9" ht="43.5" x14ac:dyDescent="0.35">
      <c r="A1055" s="195">
        <v>7</v>
      </c>
      <c r="B1055" s="195">
        <v>105</v>
      </c>
      <c r="C1055" s="195" t="s">
        <v>1491</v>
      </c>
      <c r="D1055" s="64">
        <v>1775</v>
      </c>
      <c r="E1055" s="195" t="s">
        <v>373</v>
      </c>
      <c r="F1055" s="71" t="s">
        <v>367</v>
      </c>
      <c r="G1055" s="71" t="s">
        <v>1467</v>
      </c>
      <c r="H1055" s="71" t="s">
        <v>1407</v>
      </c>
      <c r="I1055" s="71" t="s">
        <v>1385</v>
      </c>
    </row>
    <row r="1056" spans="1:9" ht="43.5" x14ac:dyDescent="0.35">
      <c r="A1056" s="195">
        <v>7</v>
      </c>
      <c r="B1056" s="195">
        <v>106</v>
      </c>
      <c r="C1056" s="195" t="s">
        <v>1492</v>
      </c>
      <c r="D1056" s="195">
        <v>0</v>
      </c>
      <c r="E1056" s="195" t="s">
        <v>373</v>
      </c>
      <c r="F1056" s="71" t="s">
        <v>367</v>
      </c>
      <c r="G1056" s="71" t="s">
        <v>1467</v>
      </c>
      <c r="H1056" s="71" t="s">
        <v>1407</v>
      </c>
      <c r="I1056" s="71" t="s">
        <v>1387</v>
      </c>
    </row>
    <row r="1057" spans="1:9" ht="43.5" x14ac:dyDescent="0.35">
      <c r="A1057" s="195">
        <v>7</v>
      </c>
      <c r="B1057" s="195">
        <v>107</v>
      </c>
      <c r="C1057" s="195" t="s">
        <v>1493</v>
      </c>
      <c r="D1057" s="64">
        <v>595135</v>
      </c>
      <c r="E1057" s="195" t="s">
        <v>366</v>
      </c>
      <c r="F1057" s="71" t="s">
        <v>367</v>
      </c>
      <c r="G1057" s="71" t="s">
        <v>1494</v>
      </c>
      <c r="H1057" s="71" t="s">
        <v>982</v>
      </c>
      <c r="I1057" s="71" t="s">
        <v>1374</v>
      </c>
    </row>
    <row r="1058" spans="1:9" ht="43.5" x14ac:dyDescent="0.35">
      <c r="A1058" s="195">
        <v>7</v>
      </c>
      <c r="B1058" s="195">
        <v>108</v>
      </c>
      <c r="C1058" s="195" t="s">
        <v>1495</v>
      </c>
      <c r="D1058" s="64">
        <v>85790</v>
      </c>
      <c r="E1058" s="195" t="s">
        <v>366</v>
      </c>
      <c r="F1058" s="71" t="s">
        <v>367</v>
      </c>
      <c r="G1058" s="71" t="s">
        <v>1494</v>
      </c>
      <c r="H1058" s="71" t="s">
        <v>1379</v>
      </c>
      <c r="I1058" s="71" t="s">
        <v>1374</v>
      </c>
    </row>
    <row r="1059" spans="1:9" ht="43.5" x14ac:dyDescent="0.35">
      <c r="A1059" s="195">
        <v>7</v>
      </c>
      <c r="B1059" s="195">
        <v>109</v>
      </c>
      <c r="C1059" s="195" t="s">
        <v>1496</v>
      </c>
      <c r="D1059" s="64">
        <v>78060</v>
      </c>
      <c r="E1059" s="195" t="s">
        <v>373</v>
      </c>
      <c r="F1059" s="71" t="s">
        <v>367</v>
      </c>
      <c r="G1059" s="71" t="s">
        <v>1494</v>
      </c>
      <c r="H1059" s="71" t="s">
        <v>1379</v>
      </c>
      <c r="I1059" s="71" t="s">
        <v>1381</v>
      </c>
    </row>
    <row r="1060" spans="1:9" ht="43.5" x14ac:dyDescent="0.35">
      <c r="A1060" s="195">
        <v>7</v>
      </c>
      <c r="B1060" s="195">
        <v>110</v>
      </c>
      <c r="C1060" s="195" t="s">
        <v>1497</v>
      </c>
      <c r="D1060" s="64">
        <v>6640</v>
      </c>
      <c r="E1060" s="195" t="s">
        <v>373</v>
      </c>
      <c r="F1060" s="71" t="s">
        <v>367</v>
      </c>
      <c r="G1060" s="71" t="s">
        <v>1494</v>
      </c>
      <c r="H1060" s="71" t="s">
        <v>1379</v>
      </c>
      <c r="I1060" s="71" t="s">
        <v>1383</v>
      </c>
    </row>
    <row r="1061" spans="1:9" ht="43.5" x14ac:dyDescent="0.35">
      <c r="A1061" s="195">
        <v>7</v>
      </c>
      <c r="B1061" s="195">
        <v>111</v>
      </c>
      <c r="C1061" s="195" t="s">
        <v>1498</v>
      </c>
      <c r="D1061" s="64">
        <v>1090</v>
      </c>
      <c r="E1061" s="195" t="s">
        <v>373</v>
      </c>
      <c r="F1061" s="71" t="s">
        <v>367</v>
      </c>
      <c r="G1061" s="71" t="s">
        <v>1494</v>
      </c>
      <c r="H1061" s="71" t="s">
        <v>1379</v>
      </c>
      <c r="I1061" s="71" t="s">
        <v>1385</v>
      </c>
    </row>
    <row r="1062" spans="1:9" ht="43.5" x14ac:dyDescent="0.35">
      <c r="A1062" s="195">
        <v>7</v>
      </c>
      <c r="B1062" s="195">
        <v>112</v>
      </c>
      <c r="C1062" s="195" t="s">
        <v>1499</v>
      </c>
      <c r="D1062" s="195">
        <v>0</v>
      </c>
      <c r="E1062" s="195" t="s">
        <v>373</v>
      </c>
      <c r="F1062" s="71" t="s">
        <v>367</v>
      </c>
      <c r="G1062" s="71" t="s">
        <v>1494</v>
      </c>
      <c r="H1062" s="71" t="s">
        <v>1379</v>
      </c>
      <c r="I1062" s="71" t="s">
        <v>1387</v>
      </c>
    </row>
    <row r="1063" spans="1:9" ht="58" x14ac:dyDescent="0.35">
      <c r="A1063" s="195">
        <v>7</v>
      </c>
      <c r="B1063" s="195">
        <v>113</v>
      </c>
      <c r="C1063" s="195" t="s">
        <v>1500</v>
      </c>
      <c r="D1063" s="64">
        <v>312365</v>
      </c>
      <c r="E1063" s="195" t="s">
        <v>366</v>
      </c>
      <c r="F1063" s="71" t="s">
        <v>367</v>
      </c>
      <c r="G1063" s="71" t="s">
        <v>1494</v>
      </c>
      <c r="H1063" s="71" t="s">
        <v>1389</v>
      </c>
      <c r="I1063" s="71" t="s">
        <v>1374</v>
      </c>
    </row>
    <row r="1064" spans="1:9" ht="58" x14ac:dyDescent="0.35">
      <c r="A1064" s="195">
        <v>7</v>
      </c>
      <c r="B1064" s="195">
        <v>114</v>
      </c>
      <c r="C1064" s="195" t="s">
        <v>1501</v>
      </c>
      <c r="D1064" s="64">
        <v>286000</v>
      </c>
      <c r="E1064" s="195" t="s">
        <v>373</v>
      </c>
      <c r="F1064" s="71" t="s">
        <v>367</v>
      </c>
      <c r="G1064" s="71" t="s">
        <v>1494</v>
      </c>
      <c r="H1064" s="71" t="s">
        <v>1389</v>
      </c>
      <c r="I1064" s="71" t="s">
        <v>1381</v>
      </c>
    </row>
    <row r="1065" spans="1:9" ht="58" x14ac:dyDescent="0.35">
      <c r="A1065" s="195">
        <v>7</v>
      </c>
      <c r="B1065" s="195">
        <v>115</v>
      </c>
      <c r="C1065" s="195" t="s">
        <v>1502</v>
      </c>
      <c r="D1065" s="64">
        <v>23335</v>
      </c>
      <c r="E1065" s="195" t="s">
        <v>373</v>
      </c>
      <c r="F1065" s="71" t="s">
        <v>367</v>
      </c>
      <c r="G1065" s="71" t="s">
        <v>1494</v>
      </c>
      <c r="H1065" s="71" t="s">
        <v>1389</v>
      </c>
      <c r="I1065" s="71" t="s">
        <v>1383</v>
      </c>
    </row>
    <row r="1066" spans="1:9" ht="58" x14ac:dyDescent="0.35">
      <c r="A1066" s="195">
        <v>7</v>
      </c>
      <c r="B1066" s="195">
        <v>116</v>
      </c>
      <c r="C1066" s="195" t="s">
        <v>1503</v>
      </c>
      <c r="D1066" s="64">
        <v>3025</v>
      </c>
      <c r="E1066" s="195" t="s">
        <v>373</v>
      </c>
      <c r="F1066" s="71" t="s">
        <v>367</v>
      </c>
      <c r="G1066" s="71" t="s">
        <v>1494</v>
      </c>
      <c r="H1066" s="71" t="s">
        <v>1389</v>
      </c>
      <c r="I1066" s="71" t="s">
        <v>1385</v>
      </c>
    </row>
    <row r="1067" spans="1:9" ht="58" x14ac:dyDescent="0.35">
      <c r="A1067" s="195">
        <v>7</v>
      </c>
      <c r="B1067" s="195">
        <v>117</v>
      </c>
      <c r="C1067" s="195" t="s">
        <v>1504</v>
      </c>
      <c r="D1067" s="195">
        <v>0</v>
      </c>
      <c r="E1067" s="195" t="s">
        <v>373</v>
      </c>
      <c r="F1067" s="71" t="s">
        <v>367</v>
      </c>
      <c r="G1067" s="71" t="s">
        <v>1494</v>
      </c>
      <c r="H1067" s="71" t="s">
        <v>1389</v>
      </c>
      <c r="I1067" s="71" t="s">
        <v>1387</v>
      </c>
    </row>
    <row r="1068" spans="1:9" ht="43.5" x14ac:dyDescent="0.35">
      <c r="A1068" s="195">
        <v>7</v>
      </c>
      <c r="B1068" s="195">
        <v>118</v>
      </c>
      <c r="C1068" s="195" t="s">
        <v>1505</v>
      </c>
      <c r="D1068" s="64">
        <v>63035</v>
      </c>
      <c r="E1068" s="195" t="s">
        <v>366</v>
      </c>
      <c r="F1068" s="71" t="s">
        <v>367</v>
      </c>
      <c r="G1068" s="71" t="s">
        <v>1494</v>
      </c>
      <c r="H1068" s="71" t="s">
        <v>1395</v>
      </c>
      <c r="I1068" s="71" t="s">
        <v>1374</v>
      </c>
    </row>
    <row r="1069" spans="1:9" ht="43.5" x14ac:dyDescent="0.35">
      <c r="A1069" s="195">
        <v>7</v>
      </c>
      <c r="B1069" s="195">
        <v>119</v>
      </c>
      <c r="C1069" s="195" t="s">
        <v>1506</v>
      </c>
      <c r="D1069" s="64">
        <v>57975</v>
      </c>
      <c r="E1069" s="195" t="s">
        <v>373</v>
      </c>
      <c r="F1069" s="71" t="s">
        <v>367</v>
      </c>
      <c r="G1069" s="71" t="s">
        <v>1494</v>
      </c>
      <c r="H1069" s="71" t="s">
        <v>1395</v>
      </c>
      <c r="I1069" s="71" t="s">
        <v>1381</v>
      </c>
    </row>
    <row r="1070" spans="1:9" ht="43.5" x14ac:dyDescent="0.35">
      <c r="A1070" s="195">
        <v>7</v>
      </c>
      <c r="B1070" s="195">
        <v>120</v>
      </c>
      <c r="C1070" s="195" t="s">
        <v>1507</v>
      </c>
      <c r="D1070" s="64">
        <v>4330</v>
      </c>
      <c r="E1070" s="195" t="s">
        <v>373</v>
      </c>
      <c r="F1070" s="71" t="s">
        <v>367</v>
      </c>
      <c r="G1070" s="71" t="s">
        <v>1494</v>
      </c>
      <c r="H1070" s="71" t="s">
        <v>1395</v>
      </c>
      <c r="I1070" s="71" t="s">
        <v>1383</v>
      </c>
    </row>
    <row r="1071" spans="1:9" ht="43.5" x14ac:dyDescent="0.35">
      <c r="A1071" s="195">
        <v>7</v>
      </c>
      <c r="B1071" s="195">
        <v>121</v>
      </c>
      <c r="C1071" s="195" t="s">
        <v>1508</v>
      </c>
      <c r="D1071" s="195">
        <v>730</v>
      </c>
      <c r="E1071" s="195" t="s">
        <v>373</v>
      </c>
      <c r="F1071" s="71" t="s">
        <v>367</v>
      </c>
      <c r="G1071" s="71" t="s">
        <v>1494</v>
      </c>
      <c r="H1071" s="71" t="s">
        <v>1395</v>
      </c>
      <c r="I1071" s="71" t="s">
        <v>1385</v>
      </c>
    </row>
    <row r="1072" spans="1:9" ht="43.5" x14ac:dyDescent="0.35">
      <c r="A1072" s="195">
        <v>7</v>
      </c>
      <c r="B1072" s="195">
        <v>122</v>
      </c>
      <c r="C1072" s="195" t="s">
        <v>1509</v>
      </c>
      <c r="D1072" s="195">
        <v>0</v>
      </c>
      <c r="E1072" s="195" t="s">
        <v>373</v>
      </c>
      <c r="F1072" s="71" t="s">
        <v>367</v>
      </c>
      <c r="G1072" s="71" t="s">
        <v>1494</v>
      </c>
      <c r="H1072" s="71" t="s">
        <v>1395</v>
      </c>
      <c r="I1072" s="71" t="s">
        <v>1387</v>
      </c>
    </row>
    <row r="1073" spans="1:9" ht="43.5" x14ac:dyDescent="0.35">
      <c r="A1073" s="195">
        <v>7</v>
      </c>
      <c r="B1073" s="195">
        <v>123</v>
      </c>
      <c r="C1073" s="195" t="s">
        <v>1510</v>
      </c>
      <c r="D1073" s="64">
        <v>36475</v>
      </c>
      <c r="E1073" s="195" t="s">
        <v>366</v>
      </c>
      <c r="F1073" s="71" t="s">
        <v>367</v>
      </c>
      <c r="G1073" s="71" t="s">
        <v>1494</v>
      </c>
      <c r="H1073" s="71" t="s">
        <v>1401</v>
      </c>
      <c r="I1073" s="71" t="s">
        <v>1374</v>
      </c>
    </row>
    <row r="1074" spans="1:9" ht="43.5" x14ac:dyDescent="0.35">
      <c r="A1074" s="195">
        <v>7</v>
      </c>
      <c r="B1074" s="195">
        <v>124</v>
      </c>
      <c r="C1074" s="195" t="s">
        <v>1511</v>
      </c>
      <c r="D1074" s="64">
        <v>32240</v>
      </c>
      <c r="E1074" s="195" t="s">
        <v>373</v>
      </c>
      <c r="F1074" s="71" t="s">
        <v>367</v>
      </c>
      <c r="G1074" s="71" t="s">
        <v>1494</v>
      </c>
      <c r="H1074" s="71" t="s">
        <v>1401</v>
      </c>
      <c r="I1074" s="71" t="s">
        <v>1381</v>
      </c>
    </row>
    <row r="1075" spans="1:9" ht="43.5" x14ac:dyDescent="0.35">
      <c r="A1075" s="195">
        <v>7</v>
      </c>
      <c r="B1075" s="195">
        <v>125</v>
      </c>
      <c r="C1075" s="195" t="s">
        <v>1512</v>
      </c>
      <c r="D1075" s="64">
        <v>3610</v>
      </c>
      <c r="E1075" s="195" t="s">
        <v>373</v>
      </c>
      <c r="F1075" s="71" t="s">
        <v>367</v>
      </c>
      <c r="G1075" s="71" t="s">
        <v>1494</v>
      </c>
      <c r="H1075" s="71" t="s">
        <v>1401</v>
      </c>
      <c r="I1075" s="71" t="s">
        <v>1383</v>
      </c>
    </row>
    <row r="1076" spans="1:9" ht="43.5" x14ac:dyDescent="0.35">
      <c r="A1076" s="195">
        <v>7</v>
      </c>
      <c r="B1076" s="195">
        <v>126</v>
      </c>
      <c r="C1076" s="195" t="s">
        <v>1513</v>
      </c>
      <c r="D1076" s="195">
        <v>625</v>
      </c>
      <c r="E1076" s="195" t="s">
        <v>373</v>
      </c>
      <c r="F1076" s="71" t="s">
        <v>367</v>
      </c>
      <c r="G1076" s="71" t="s">
        <v>1494</v>
      </c>
      <c r="H1076" s="71" t="s">
        <v>1401</v>
      </c>
      <c r="I1076" s="71" t="s">
        <v>1385</v>
      </c>
    </row>
    <row r="1077" spans="1:9" ht="43.5" x14ac:dyDescent="0.35">
      <c r="A1077" s="195">
        <v>7</v>
      </c>
      <c r="B1077" s="195">
        <v>127</v>
      </c>
      <c r="C1077" s="195" t="s">
        <v>1514</v>
      </c>
      <c r="D1077" s="195">
        <v>0</v>
      </c>
      <c r="E1077" s="195" t="s">
        <v>373</v>
      </c>
      <c r="F1077" s="71" t="s">
        <v>367</v>
      </c>
      <c r="G1077" s="71" t="s">
        <v>1494</v>
      </c>
      <c r="H1077" s="71" t="s">
        <v>1401</v>
      </c>
      <c r="I1077" s="71" t="s">
        <v>1387</v>
      </c>
    </row>
    <row r="1078" spans="1:9" ht="43.5" x14ac:dyDescent="0.35">
      <c r="A1078" s="195">
        <v>7</v>
      </c>
      <c r="B1078" s="195">
        <v>128</v>
      </c>
      <c r="C1078" s="195" t="s">
        <v>1515</v>
      </c>
      <c r="D1078" s="64">
        <v>97470</v>
      </c>
      <c r="E1078" s="195" t="s">
        <v>366</v>
      </c>
      <c r="F1078" s="71" t="s">
        <v>367</v>
      </c>
      <c r="G1078" s="71" t="s">
        <v>1494</v>
      </c>
      <c r="H1078" s="71" t="s">
        <v>1407</v>
      </c>
      <c r="I1078" s="71" t="s">
        <v>1374</v>
      </c>
    </row>
    <row r="1079" spans="1:9" ht="43.5" x14ac:dyDescent="0.35">
      <c r="A1079" s="195">
        <v>7</v>
      </c>
      <c r="B1079" s="195">
        <v>129</v>
      </c>
      <c r="C1079" s="195" t="s">
        <v>1516</v>
      </c>
      <c r="D1079" s="64">
        <v>83040</v>
      </c>
      <c r="E1079" s="195" t="s">
        <v>373</v>
      </c>
      <c r="F1079" s="71" t="s">
        <v>367</v>
      </c>
      <c r="G1079" s="71" t="s">
        <v>1494</v>
      </c>
      <c r="H1079" s="71" t="s">
        <v>1407</v>
      </c>
      <c r="I1079" s="71" t="s">
        <v>1381</v>
      </c>
    </row>
    <row r="1080" spans="1:9" ht="43.5" x14ac:dyDescent="0.35">
      <c r="A1080" s="195">
        <v>7</v>
      </c>
      <c r="B1080" s="195">
        <v>130</v>
      </c>
      <c r="C1080" s="195" t="s">
        <v>1517</v>
      </c>
      <c r="D1080" s="64">
        <v>12705</v>
      </c>
      <c r="E1080" s="195" t="s">
        <v>373</v>
      </c>
      <c r="F1080" s="71" t="s">
        <v>367</v>
      </c>
      <c r="G1080" s="71" t="s">
        <v>1494</v>
      </c>
      <c r="H1080" s="71" t="s">
        <v>1407</v>
      </c>
      <c r="I1080" s="71" t="s">
        <v>1383</v>
      </c>
    </row>
    <row r="1081" spans="1:9" ht="43.5" x14ac:dyDescent="0.35">
      <c r="A1081" s="195">
        <v>7</v>
      </c>
      <c r="B1081" s="195">
        <v>131</v>
      </c>
      <c r="C1081" s="195" t="s">
        <v>1518</v>
      </c>
      <c r="D1081" s="64">
        <v>1725</v>
      </c>
      <c r="E1081" s="195" t="s">
        <v>373</v>
      </c>
      <c r="F1081" s="71" t="s">
        <v>367</v>
      </c>
      <c r="G1081" s="71" t="s">
        <v>1494</v>
      </c>
      <c r="H1081" s="71" t="s">
        <v>1407</v>
      </c>
      <c r="I1081" s="71" t="s">
        <v>1385</v>
      </c>
    </row>
    <row r="1082" spans="1:9" ht="43.5" x14ac:dyDescent="0.35">
      <c r="A1082" s="195">
        <v>7</v>
      </c>
      <c r="B1082" s="195">
        <v>132</v>
      </c>
      <c r="C1082" s="195" t="s">
        <v>1519</v>
      </c>
      <c r="D1082" s="195">
        <v>0</v>
      </c>
      <c r="E1082" s="195" t="s">
        <v>373</v>
      </c>
      <c r="F1082" s="71" t="s">
        <v>367</v>
      </c>
      <c r="G1082" s="71" t="s">
        <v>1494</v>
      </c>
      <c r="H1082" s="71" t="s">
        <v>1407</v>
      </c>
      <c r="I1082" s="71" t="s">
        <v>1387</v>
      </c>
    </row>
    <row r="1083" spans="1:9" x14ac:dyDescent="0.35">
      <c r="A1083" s="195">
        <v>7</v>
      </c>
      <c r="B1083" s="195">
        <v>133</v>
      </c>
      <c r="C1083" s="195" t="s">
        <v>1520</v>
      </c>
      <c r="D1083" s="64">
        <v>846440</v>
      </c>
      <c r="E1083" s="195" t="s">
        <v>366</v>
      </c>
      <c r="F1083" s="71" t="s">
        <v>508</v>
      </c>
      <c r="G1083" s="71" t="s">
        <v>363</v>
      </c>
      <c r="H1083" s="71" t="s">
        <v>982</v>
      </c>
      <c r="I1083" s="71" t="s">
        <v>1374</v>
      </c>
    </row>
    <row r="1084" spans="1:9" ht="43.5" x14ac:dyDescent="0.35">
      <c r="A1084" s="195">
        <v>7</v>
      </c>
      <c r="B1084" s="195">
        <v>134</v>
      </c>
      <c r="C1084" s="195" t="s">
        <v>1521</v>
      </c>
      <c r="D1084" s="64">
        <v>263215</v>
      </c>
      <c r="E1084" s="195" t="s">
        <v>366</v>
      </c>
      <c r="F1084" s="71" t="s">
        <v>508</v>
      </c>
      <c r="G1084" s="71" t="s">
        <v>1377</v>
      </c>
      <c r="H1084" s="71" t="s">
        <v>982</v>
      </c>
      <c r="I1084" s="71" t="s">
        <v>1374</v>
      </c>
    </row>
    <row r="1085" spans="1:9" ht="43.5" x14ac:dyDescent="0.35">
      <c r="A1085" s="195">
        <v>7</v>
      </c>
      <c r="B1085" s="195">
        <v>135</v>
      </c>
      <c r="C1085" s="195" t="s">
        <v>1522</v>
      </c>
      <c r="D1085" s="64">
        <v>11215</v>
      </c>
      <c r="E1085" s="195" t="s">
        <v>366</v>
      </c>
      <c r="F1085" s="71" t="s">
        <v>508</v>
      </c>
      <c r="G1085" s="71" t="s">
        <v>1377</v>
      </c>
      <c r="H1085" s="71" t="s">
        <v>1379</v>
      </c>
      <c r="I1085" s="71" t="s">
        <v>1374</v>
      </c>
    </row>
    <row r="1086" spans="1:9" ht="43.5" x14ac:dyDescent="0.35">
      <c r="A1086" s="195">
        <v>7</v>
      </c>
      <c r="B1086" s="195">
        <v>136</v>
      </c>
      <c r="C1086" s="195" t="s">
        <v>1523</v>
      </c>
      <c r="D1086" s="64">
        <v>2270</v>
      </c>
      <c r="E1086" s="195" t="s">
        <v>373</v>
      </c>
      <c r="F1086" s="71" t="s">
        <v>508</v>
      </c>
      <c r="G1086" s="71" t="s">
        <v>1377</v>
      </c>
      <c r="H1086" s="71" t="s">
        <v>1379</v>
      </c>
      <c r="I1086" s="71" t="s">
        <v>1381</v>
      </c>
    </row>
    <row r="1087" spans="1:9" ht="43.5" x14ac:dyDescent="0.35">
      <c r="A1087" s="195">
        <v>7</v>
      </c>
      <c r="B1087" s="195">
        <v>137</v>
      </c>
      <c r="C1087" s="195" t="s">
        <v>1524</v>
      </c>
      <c r="D1087" s="64">
        <v>1960</v>
      </c>
      <c r="E1087" s="195" t="s">
        <v>373</v>
      </c>
      <c r="F1087" s="71" t="s">
        <v>508</v>
      </c>
      <c r="G1087" s="71" t="s">
        <v>1377</v>
      </c>
      <c r="H1087" s="71" t="s">
        <v>1379</v>
      </c>
      <c r="I1087" s="71" t="s">
        <v>1383</v>
      </c>
    </row>
    <row r="1088" spans="1:9" ht="43.5" x14ac:dyDescent="0.35">
      <c r="A1088" s="195">
        <v>7</v>
      </c>
      <c r="B1088" s="195">
        <v>138</v>
      </c>
      <c r="C1088" s="195" t="s">
        <v>1525</v>
      </c>
      <c r="D1088" s="64">
        <v>6245</v>
      </c>
      <c r="E1088" s="195" t="s">
        <v>373</v>
      </c>
      <c r="F1088" s="71" t="s">
        <v>508</v>
      </c>
      <c r="G1088" s="71" t="s">
        <v>1377</v>
      </c>
      <c r="H1088" s="71" t="s">
        <v>1379</v>
      </c>
      <c r="I1088" s="71" t="s">
        <v>1385</v>
      </c>
    </row>
    <row r="1089" spans="1:9" ht="43.5" x14ac:dyDescent="0.35">
      <c r="A1089" s="195">
        <v>7</v>
      </c>
      <c r="B1089" s="195">
        <v>139</v>
      </c>
      <c r="C1089" s="195" t="s">
        <v>1526</v>
      </c>
      <c r="D1089" s="195">
        <v>745</v>
      </c>
      <c r="E1089" s="195" t="s">
        <v>373</v>
      </c>
      <c r="F1089" s="71" t="s">
        <v>508</v>
      </c>
      <c r="G1089" s="71" t="s">
        <v>1377</v>
      </c>
      <c r="H1089" s="71" t="s">
        <v>1379</v>
      </c>
      <c r="I1089" s="71" t="s">
        <v>1387</v>
      </c>
    </row>
    <row r="1090" spans="1:9" ht="58" x14ac:dyDescent="0.35">
      <c r="A1090" s="195">
        <v>7</v>
      </c>
      <c r="B1090" s="195">
        <v>140</v>
      </c>
      <c r="C1090" s="195" t="s">
        <v>1527</v>
      </c>
      <c r="D1090" s="64">
        <v>81600</v>
      </c>
      <c r="E1090" s="195" t="s">
        <v>366</v>
      </c>
      <c r="F1090" s="71" t="s">
        <v>508</v>
      </c>
      <c r="G1090" s="71" t="s">
        <v>1377</v>
      </c>
      <c r="H1090" s="71" t="s">
        <v>1389</v>
      </c>
      <c r="I1090" s="71" t="s">
        <v>1374</v>
      </c>
    </row>
    <row r="1091" spans="1:9" ht="58" x14ac:dyDescent="0.35">
      <c r="A1091" s="195">
        <v>7</v>
      </c>
      <c r="B1091" s="195">
        <v>141</v>
      </c>
      <c r="C1091" s="195" t="s">
        <v>1528</v>
      </c>
      <c r="D1091" s="64">
        <v>6430</v>
      </c>
      <c r="E1091" s="195" t="s">
        <v>373</v>
      </c>
      <c r="F1091" s="71" t="s">
        <v>508</v>
      </c>
      <c r="G1091" s="71" t="s">
        <v>1377</v>
      </c>
      <c r="H1091" s="71" t="s">
        <v>1389</v>
      </c>
      <c r="I1091" s="71" t="s">
        <v>1381</v>
      </c>
    </row>
    <row r="1092" spans="1:9" ht="58" x14ac:dyDescent="0.35">
      <c r="A1092" s="195">
        <v>7</v>
      </c>
      <c r="B1092" s="195">
        <v>142</v>
      </c>
      <c r="C1092" s="195" t="s">
        <v>1529</v>
      </c>
      <c r="D1092" s="64">
        <v>11155</v>
      </c>
      <c r="E1092" s="195" t="s">
        <v>373</v>
      </c>
      <c r="F1092" s="71" t="s">
        <v>508</v>
      </c>
      <c r="G1092" s="71" t="s">
        <v>1377</v>
      </c>
      <c r="H1092" s="71" t="s">
        <v>1389</v>
      </c>
      <c r="I1092" s="71" t="s">
        <v>1383</v>
      </c>
    </row>
    <row r="1093" spans="1:9" ht="58" x14ac:dyDescent="0.35">
      <c r="A1093" s="195">
        <v>7</v>
      </c>
      <c r="B1093" s="195">
        <v>143</v>
      </c>
      <c r="C1093" s="195" t="s">
        <v>1530</v>
      </c>
      <c r="D1093" s="64">
        <v>55430</v>
      </c>
      <c r="E1093" s="195" t="s">
        <v>373</v>
      </c>
      <c r="F1093" s="71" t="s">
        <v>508</v>
      </c>
      <c r="G1093" s="71" t="s">
        <v>1377</v>
      </c>
      <c r="H1093" s="71" t="s">
        <v>1389</v>
      </c>
      <c r="I1093" s="71" t="s">
        <v>1385</v>
      </c>
    </row>
    <row r="1094" spans="1:9" ht="58" x14ac:dyDescent="0.35">
      <c r="A1094" s="195">
        <v>7</v>
      </c>
      <c r="B1094" s="195">
        <v>144</v>
      </c>
      <c r="C1094" s="195" t="s">
        <v>1531</v>
      </c>
      <c r="D1094" s="64">
        <v>8580</v>
      </c>
      <c r="E1094" s="195" t="s">
        <v>373</v>
      </c>
      <c r="F1094" s="71" t="s">
        <v>508</v>
      </c>
      <c r="G1094" s="71" t="s">
        <v>1377</v>
      </c>
      <c r="H1094" s="71" t="s">
        <v>1389</v>
      </c>
      <c r="I1094" s="71" t="s">
        <v>1387</v>
      </c>
    </row>
    <row r="1095" spans="1:9" ht="43.5" x14ac:dyDescent="0.35">
      <c r="A1095" s="195">
        <v>7</v>
      </c>
      <c r="B1095" s="195">
        <v>145</v>
      </c>
      <c r="C1095" s="195" t="s">
        <v>1532</v>
      </c>
      <c r="D1095" s="64">
        <v>25070</v>
      </c>
      <c r="E1095" s="195" t="s">
        <v>366</v>
      </c>
      <c r="F1095" s="71" t="s">
        <v>508</v>
      </c>
      <c r="G1095" s="71" t="s">
        <v>1377</v>
      </c>
      <c r="H1095" s="71" t="s">
        <v>1395</v>
      </c>
      <c r="I1095" s="71" t="s">
        <v>1374</v>
      </c>
    </row>
    <row r="1096" spans="1:9" ht="43.5" x14ac:dyDescent="0.35">
      <c r="A1096" s="195">
        <v>7</v>
      </c>
      <c r="B1096" s="195">
        <v>146</v>
      </c>
      <c r="C1096" s="195" t="s">
        <v>1533</v>
      </c>
      <c r="D1096" s="64">
        <v>2015</v>
      </c>
      <c r="E1096" s="195" t="s">
        <v>373</v>
      </c>
      <c r="F1096" s="71" t="s">
        <v>508</v>
      </c>
      <c r="G1096" s="71" t="s">
        <v>1377</v>
      </c>
      <c r="H1096" s="71" t="s">
        <v>1395</v>
      </c>
      <c r="I1096" s="71" t="s">
        <v>1381</v>
      </c>
    </row>
    <row r="1097" spans="1:9" ht="43.5" x14ac:dyDescent="0.35">
      <c r="A1097" s="195">
        <v>7</v>
      </c>
      <c r="B1097" s="195">
        <v>147</v>
      </c>
      <c r="C1097" s="195" t="s">
        <v>1534</v>
      </c>
      <c r="D1097" s="64">
        <v>5155</v>
      </c>
      <c r="E1097" s="195" t="s">
        <v>373</v>
      </c>
      <c r="F1097" s="71" t="s">
        <v>508</v>
      </c>
      <c r="G1097" s="71" t="s">
        <v>1377</v>
      </c>
      <c r="H1097" s="71" t="s">
        <v>1395</v>
      </c>
      <c r="I1097" s="71" t="s">
        <v>1383</v>
      </c>
    </row>
    <row r="1098" spans="1:9" ht="43.5" x14ac:dyDescent="0.35">
      <c r="A1098" s="195">
        <v>7</v>
      </c>
      <c r="B1098" s="195">
        <v>148</v>
      </c>
      <c r="C1098" s="195" t="s">
        <v>1535</v>
      </c>
      <c r="D1098" s="64">
        <v>16590</v>
      </c>
      <c r="E1098" s="195" t="s">
        <v>373</v>
      </c>
      <c r="F1098" s="71" t="s">
        <v>508</v>
      </c>
      <c r="G1098" s="71" t="s">
        <v>1377</v>
      </c>
      <c r="H1098" s="71" t="s">
        <v>1395</v>
      </c>
      <c r="I1098" s="71" t="s">
        <v>1385</v>
      </c>
    </row>
    <row r="1099" spans="1:9" ht="43.5" x14ac:dyDescent="0.35">
      <c r="A1099" s="195">
        <v>7</v>
      </c>
      <c r="B1099" s="195">
        <v>149</v>
      </c>
      <c r="C1099" s="195" t="s">
        <v>1536</v>
      </c>
      <c r="D1099" s="64">
        <v>1305</v>
      </c>
      <c r="E1099" s="195" t="s">
        <v>373</v>
      </c>
      <c r="F1099" s="71" t="s">
        <v>508</v>
      </c>
      <c r="G1099" s="71" t="s">
        <v>1377</v>
      </c>
      <c r="H1099" s="71" t="s">
        <v>1395</v>
      </c>
      <c r="I1099" s="71" t="s">
        <v>1387</v>
      </c>
    </row>
    <row r="1100" spans="1:9" ht="43.5" x14ac:dyDescent="0.35">
      <c r="A1100" s="195">
        <v>7</v>
      </c>
      <c r="B1100" s="195">
        <v>150</v>
      </c>
      <c r="C1100" s="195" t="s">
        <v>1537</v>
      </c>
      <c r="D1100" s="64">
        <v>56660</v>
      </c>
      <c r="E1100" s="195" t="s">
        <v>366</v>
      </c>
      <c r="F1100" s="71" t="s">
        <v>508</v>
      </c>
      <c r="G1100" s="71" t="s">
        <v>1377</v>
      </c>
      <c r="H1100" s="71" t="s">
        <v>1401</v>
      </c>
      <c r="I1100" s="71" t="s">
        <v>1374</v>
      </c>
    </row>
    <row r="1101" spans="1:9" ht="43.5" x14ac:dyDescent="0.35">
      <c r="A1101" s="195">
        <v>7</v>
      </c>
      <c r="B1101" s="195">
        <v>151</v>
      </c>
      <c r="C1101" s="195" t="s">
        <v>1538</v>
      </c>
      <c r="D1101" s="64">
        <v>13960</v>
      </c>
      <c r="E1101" s="195" t="s">
        <v>373</v>
      </c>
      <c r="F1101" s="71" t="s">
        <v>508</v>
      </c>
      <c r="G1101" s="71" t="s">
        <v>1377</v>
      </c>
      <c r="H1101" s="71" t="s">
        <v>1401</v>
      </c>
      <c r="I1101" s="71" t="s">
        <v>1381</v>
      </c>
    </row>
    <row r="1102" spans="1:9" ht="43.5" x14ac:dyDescent="0.35">
      <c r="A1102" s="195">
        <v>7</v>
      </c>
      <c r="B1102" s="195">
        <v>152</v>
      </c>
      <c r="C1102" s="195" t="s">
        <v>1539</v>
      </c>
      <c r="D1102" s="64">
        <v>10455</v>
      </c>
      <c r="E1102" s="195" t="s">
        <v>373</v>
      </c>
      <c r="F1102" s="71" t="s">
        <v>508</v>
      </c>
      <c r="G1102" s="71" t="s">
        <v>1377</v>
      </c>
      <c r="H1102" s="71" t="s">
        <v>1401</v>
      </c>
      <c r="I1102" s="71" t="s">
        <v>1383</v>
      </c>
    </row>
    <row r="1103" spans="1:9" ht="43.5" x14ac:dyDescent="0.35">
      <c r="A1103" s="195">
        <v>7</v>
      </c>
      <c r="B1103" s="195">
        <v>153</v>
      </c>
      <c r="C1103" s="195" t="s">
        <v>1540</v>
      </c>
      <c r="D1103" s="64">
        <v>29365</v>
      </c>
      <c r="E1103" s="195" t="s">
        <v>373</v>
      </c>
      <c r="F1103" s="71" t="s">
        <v>508</v>
      </c>
      <c r="G1103" s="71" t="s">
        <v>1377</v>
      </c>
      <c r="H1103" s="71" t="s">
        <v>1401</v>
      </c>
      <c r="I1103" s="71" t="s">
        <v>1385</v>
      </c>
    </row>
    <row r="1104" spans="1:9" ht="43.5" x14ac:dyDescent="0.35">
      <c r="A1104" s="195">
        <v>7</v>
      </c>
      <c r="B1104" s="195">
        <v>154</v>
      </c>
      <c r="C1104" s="195" t="s">
        <v>1541</v>
      </c>
      <c r="D1104" s="64">
        <v>2885</v>
      </c>
      <c r="E1104" s="195" t="s">
        <v>373</v>
      </c>
      <c r="F1104" s="71" t="s">
        <v>508</v>
      </c>
      <c r="G1104" s="71" t="s">
        <v>1377</v>
      </c>
      <c r="H1104" s="71" t="s">
        <v>1401</v>
      </c>
      <c r="I1104" s="71" t="s">
        <v>1387</v>
      </c>
    </row>
    <row r="1105" spans="1:9" ht="43.5" x14ac:dyDescent="0.35">
      <c r="A1105" s="195">
        <v>7</v>
      </c>
      <c r="B1105" s="195">
        <v>155</v>
      </c>
      <c r="C1105" s="195" t="s">
        <v>1542</v>
      </c>
      <c r="D1105" s="64">
        <v>88665</v>
      </c>
      <c r="E1105" s="195" t="s">
        <v>366</v>
      </c>
      <c r="F1105" s="71" t="s">
        <v>508</v>
      </c>
      <c r="G1105" s="71" t="s">
        <v>1377</v>
      </c>
      <c r="H1105" s="71" t="s">
        <v>1407</v>
      </c>
      <c r="I1105" s="71" t="s">
        <v>1374</v>
      </c>
    </row>
    <row r="1106" spans="1:9" ht="43.5" x14ac:dyDescent="0.35">
      <c r="A1106" s="195">
        <v>7</v>
      </c>
      <c r="B1106" s="195">
        <v>156</v>
      </c>
      <c r="C1106" s="195" t="s">
        <v>1543</v>
      </c>
      <c r="D1106" s="64">
        <v>7425</v>
      </c>
      <c r="E1106" s="195" t="s">
        <v>373</v>
      </c>
      <c r="F1106" s="71" t="s">
        <v>508</v>
      </c>
      <c r="G1106" s="71" t="s">
        <v>1377</v>
      </c>
      <c r="H1106" s="71" t="s">
        <v>1407</v>
      </c>
      <c r="I1106" s="71" t="s">
        <v>1381</v>
      </c>
    </row>
    <row r="1107" spans="1:9" ht="43.5" x14ac:dyDescent="0.35">
      <c r="A1107" s="195">
        <v>7</v>
      </c>
      <c r="B1107" s="195">
        <v>157</v>
      </c>
      <c r="C1107" s="195" t="s">
        <v>1544</v>
      </c>
      <c r="D1107" s="64">
        <v>6120</v>
      </c>
      <c r="E1107" s="195" t="s">
        <v>373</v>
      </c>
      <c r="F1107" s="71" t="s">
        <v>508</v>
      </c>
      <c r="G1107" s="71" t="s">
        <v>1377</v>
      </c>
      <c r="H1107" s="71" t="s">
        <v>1407</v>
      </c>
      <c r="I1107" s="71" t="s">
        <v>1383</v>
      </c>
    </row>
    <row r="1108" spans="1:9" ht="43.5" x14ac:dyDescent="0.35">
      <c r="A1108" s="195">
        <v>7</v>
      </c>
      <c r="B1108" s="195">
        <v>158</v>
      </c>
      <c r="C1108" s="195" t="s">
        <v>1545</v>
      </c>
      <c r="D1108" s="64">
        <v>56960</v>
      </c>
      <c r="E1108" s="195" t="s">
        <v>373</v>
      </c>
      <c r="F1108" s="71" t="s">
        <v>508</v>
      </c>
      <c r="G1108" s="71" t="s">
        <v>1377</v>
      </c>
      <c r="H1108" s="71" t="s">
        <v>1407</v>
      </c>
      <c r="I1108" s="71" t="s">
        <v>1385</v>
      </c>
    </row>
    <row r="1109" spans="1:9" ht="43.5" x14ac:dyDescent="0.35">
      <c r="A1109" s="195">
        <v>7</v>
      </c>
      <c r="B1109" s="195">
        <v>159</v>
      </c>
      <c r="C1109" s="195" t="s">
        <v>1546</v>
      </c>
      <c r="D1109" s="64">
        <v>18155</v>
      </c>
      <c r="E1109" s="195" t="s">
        <v>373</v>
      </c>
      <c r="F1109" s="71" t="s">
        <v>508</v>
      </c>
      <c r="G1109" s="71" t="s">
        <v>1377</v>
      </c>
      <c r="H1109" s="71" t="s">
        <v>1407</v>
      </c>
      <c r="I1109" s="71" t="s">
        <v>1387</v>
      </c>
    </row>
    <row r="1110" spans="1:9" ht="43.5" x14ac:dyDescent="0.35">
      <c r="A1110" s="195">
        <v>7</v>
      </c>
      <c r="B1110" s="195">
        <v>160</v>
      </c>
      <c r="C1110" s="195" t="s">
        <v>1547</v>
      </c>
      <c r="D1110" s="64">
        <v>147875</v>
      </c>
      <c r="E1110" s="195" t="s">
        <v>366</v>
      </c>
      <c r="F1110" s="71" t="s">
        <v>508</v>
      </c>
      <c r="G1110" s="71" t="s">
        <v>1413</v>
      </c>
      <c r="H1110" s="71" t="s">
        <v>982</v>
      </c>
      <c r="I1110" s="71" t="s">
        <v>1374</v>
      </c>
    </row>
    <row r="1111" spans="1:9" ht="43.5" x14ac:dyDescent="0.35">
      <c r="A1111" s="195">
        <v>7</v>
      </c>
      <c r="B1111" s="195">
        <v>161</v>
      </c>
      <c r="C1111" s="195" t="s">
        <v>1548</v>
      </c>
      <c r="D1111" s="64">
        <v>8185</v>
      </c>
      <c r="E1111" s="195" t="s">
        <v>366</v>
      </c>
      <c r="F1111" s="71" t="s">
        <v>508</v>
      </c>
      <c r="G1111" s="71" t="s">
        <v>1413</v>
      </c>
      <c r="H1111" s="71" t="s">
        <v>1379</v>
      </c>
      <c r="I1111" s="71" t="s">
        <v>1374</v>
      </c>
    </row>
    <row r="1112" spans="1:9" ht="43.5" x14ac:dyDescent="0.35">
      <c r="A1112" s="195">
        <v>7</v>
      </c>
      <c r="B1112" s="195">
        <v>162</v>
      </c>
      <c r="C1112" s="195" t="s">
        <v>1549</v>
      </c>
      <c r="D1112" s="64">
        <v>1885</v>
      </c>
      <c r="E1112" s="195" t="s">
        <v>373</v>
      </c>
      <c r="F1112" s="71" t="s">
        <v>508</v>
      </c>
      <c r="G1112" s="71" t="s">
        <v>1413</v>
      </c>
      <c r="H1112" s="71" t="s">
        <v>1379</v>
      </c>
      <c r="I1112" s="71" t="s">
        <v>1381</v>
      </c>
    </row>
    <row r="1113" spans="1:9" ht="43.5" x14ac:dyDescent="0.35">
      <c r="A1113" s="195">
        <v>7</v>
      </c>
      <c r="B1113" s="195">
        <v>163</v>
      </c>
      <c r="C1113" s="195" t="s">
        <v>1550</v>
      </c>
      <c r="D1113" s="64">
        <v>4055</v>
      </c>
      <c r="E1113" s="195" t="s">
        <v>373</v>
      </c>
      <c r="F1113" s="71" t="s">
        <v>508</v>
      </c>
      <c r="G1113" s="71" t="s">
        <v>1413</v>
      </c>
      <c r="H1113" s="71" t="s">
        <v>1379</v>
      </c>
      <c r="I1113" s="71" t="s">
        <v>1383</v>
      </c>
    </row>
    <row r="1114" spans="1:9" ht="43.5" x14ac:dyDescent="0.35">
      <c r="A1114" s="195">
        <v>7</v>
      </c>
      <c r="B1114" s="195">
        <v>164</v>
      </c>
      <c r="C1114" s="195" t="s">
        <v>1551</v>
      </c>
      <c r="D1114" s="64">
        <v>2240</v>
      </c>
      <c r="E1114" s="195" t="s">
        <v>373</v>
      </c>
      <c r="F1114" s="71" t="s">
        <v>508</v>
      </c>
      <c r="G1114" s="71" t="s">
        <v>1413</v>
      </c>
      <c r="H1114" s="71" t="s">
        <v>1379</v>
      </c>
      <c r="I1114" s="71" t="s">
        <v>1385</v>
      </c>
    </row>
    <row r="1115" spans="1:9" ht="43.5" x14ac:dyDescent="0.35">
      <c r="A1115" s="195">
        <v>7</v>
      </c>
      <c r="B1115" s="195">
        <v>165</v>
      </c>
      <c r="C1115" s="195" t="s">
        <v>1552</v>
      </c>
      <c r="D1115" s="195">
        <v>0</v>
      </c>
      <c r="E1115" s="195" t="s">
        <v>373</v>
      </c>
      <c r="F1115" s="71" t="s">
        <v>508</v>
      </c>
      <c r="G1115" s="71" t="s">
        <v>1413</v>
      </c>
      <c r="H1115" s="71" t="s">
        <v>1379</v>
      </c>
      <c r="I1115" s="71" t="s">
        <v>1387</v>
      </c>
    </row>
    <row r="1116" spans="1:9" ht="58" x14ac:dyDescent="0.35">
      <c r="A1116" s="195">
        <v>7</v>
      </c>
      <c r="B1116" s="195">
        <v>166</v>
      </c>
      <c r="C1116" s="195" t="s">
        <v>1553</v>
      </c>
      <c r="D1116" s="64">
        <v>56870</v>
      </c>
      <c r="E1116" s="195" t="s">
        <v>366</v>
      </c>
      <c r="F1116" s="71" t="s">
        <v>508</v>
      </c>
      <c r="G1116" s="71" t="s">
        <v>1413</v>
      </c>
      <c r="H1116" s="71" t="s">
        <v>1389</v>
      </c>
      <c r="I1116" s="71" t="s">
        <v>1374</v>
      </c>
    </row>
    <row r="1117" spans="1:9" ht="58" x14ac:dyDescent="0.35">
      <c r="A1117" s="195">
        <v>7</v>
      </c>
      <c r="B1117" s="195">
        <v>167</v>
      </c>
      <c r="C1117" s="195" t="s">
        <v>1554</v>
      </c>
      <c r="D1117" s="64">
        <v>13850</v>
      </c>
      <c r="E1117" s="195" t="s">
        <v>373</v>
      </c>
      <c r="F1117" s="71" t="s">
        <v>508</v>
      </c>
      <c r="G1117" s="71" t="s">
        <v>1413</v>
      </c>
      <c r="H1117" s="71" t="s">
        <v>1389</v>
      </c>
      <c r="I1117" s="71" t="s">
        <v>1381</v>
      </c>
    </row>
    <row r="1118" spans="1:9" ht="58" x14ac:dyDescent="0.35">
      <c r="A1118" s="195">
        <v>7</v>
      </c>
      <c r="B1118" s="195">
        <v>168</v>
      </c>
      <c r="C1118" s="195" t="s">
        <v>1555</v>
      </c>
      <c r="D1118" s="64">
        <v>31080</v>
      </c>
      <c r="E1118" s="195" t="s">
        <v>373</v>
      </c>
      <c r="F1118" s="71" t="s">
        <v>508</v>
      </c>
      <c r="G1118" s="71" t="s">
        <v>1413</v>
      </c>
      <c r="H1118" s="71" t="s">
        <v>1389</v>
      </c>
      <c r="I1118" s="71" t="s">
        <v>1383</v>
      </c>
    </row>
    <row r="1119" spans="1:9" ht="58" x14ac:dyDescent="0.35">
      <c r="A1119" s="195">
        <v>7</v>
      </c>
      <c r="B1119" s="195">
        <v>169</v>
      </c>
      <c r="C1119" s="195" t="s">
        <v>1556</v>
      </c>
      <c r="D1119" s="64">
        <v>11945</v>
      </c>
      <c r="E1119" s="195" t="s">
        <v>373</v>
      </c>
      <c r="F1119" s="71" t="s">
        <v>508</v>
      </c>
      <c r="G1119" s="71" t="s">
        <v>1413</v>
      </c>
      <c r="H1119" s="71" t="s">
        <v>1389</v>
      </c>
      <c r="I1119" s="71" t="s">
        <v>1385</v>
      </c>
    </row>
    <row r="1120" spans="1:9" ht="58" x14ac:dyDescent="0.35">
      <c r="A1120" s="195">
        <v>7</v>
      </c>
      <c r="B1120" s="195">
        <v>170</v>
      </c>
      <c r="C1120" s="195" t="s">
        <v>1557</v>
      </c>
      <c r="D1120" s="195">
        <v>0</v>
      </c>
      <c r="E1120" s="195" t="s">
        <v>373</v>
      </c>
      <c r="F1120" s="71" t="s">
        <v>508</v>
      </c>
      <c r="G1120" s="71" t="s">
        <v>1413</v>
      </c>
      <c r="H1120" s="71" t="s">
        <v>1389</v>
      </c>
      <c r="I1120" s="71" t="s">
        <v>1387</v>
      </c>
    </row>
    <row r="1121" spans="1:9" ht="43.5" x14ac:dyDescent="0.35">
      <c r="A1121" s="195">
        <v>7</v>
      </c>
      <c r="B1121" s="195">
        <v>171</v>
      </c>
      <c r="C1121" s="195" t="s">
        <v>1558</v>
      </c>
      <c r="D1121" s="64">
        <v>17660</v>
      </c>
      <c r="E1121" s="195" t="s">
        <v>366</v>
      </c>
      <c r="F1121" s="71" t="s">
        <v>508</v>
      </c>
      <c r="G1121" s="71" t="s">
        <v>1413</v>
      </c>
      <c r="H1121" s="71" t="s">
        <v>1395</v>
      </c>
      <c r="I1121" s="71" t="s">
        <v>1374</v>
      </c>
    </row>
    <row r="1122" spans="1:9" ht="43.5" x14ac:dyDescent="0.35">
      <c r="A1122" s="195">
        <v>7</v>
      </c>
      <c r="B1122" s="195">
        <v>172</v>
      </c>
      <c r="C1122" s="195" t="s">
        <v>1559</v>
      </c>
      <c r="D1122" s="64">
        <v>6500</v>
      </c>
      <c r="E1122" s="195" t="s">
        <v>373</v>
      </c>
      <c r="F1122" s="71" t="s">
        <v>508</v>
      </c>
      <c r="G1122" s="71" t="s">
        <v>1413</v>
      </c>
      <c r="H1122" s="71" t="s">
        <v>1395</v>
      </c>
      <c r="I1122" s="71" t="s">
        <v>1381</v>
      </c>
    </row>
    <row r="1123" spans="1:9" ht="43.5" x14ac:dyDescent="0.35">
      <c r="A1123" s="195">
        <v>7</v>
      </c>
      <c r="B1123" s="195">
        <v>173</v>
      </c>
      <c r="C1123" s="195" t="s">
        <v>1560</v>
      </c>
      <c r="D1123" s="64">
        <v>8785</v>
      </c>
      <c r="E1123" s="195" t="s">
        <v>373</v>
      </c>
      <c r="F1123" s="71" t="s">
        <v>508</v>
      </c>
      <c r="G1123" s="71" t="s">
        <v>1413</v>
      </c>
      <c r="H1123" s="71" t="s">
        <v>1395</v>
      </c>
      <c r="I1123" s="71" t="s">
        <v>1383</v>
      </c>
    </row>
    <row r="1124" spans="1:9" ht="43.5" x14ac:dyDescent="0.35">
      <c r="A1124" s="195">
        <v>7</v>
      </c>
      <c r="B1124" s="195">
        <v>174</v>
      </c>
      <c r="C1124" s="195" t="s">
        <v>1561</v>
      </c>
      <c r="D1124" s="64">
        <v>2375</v>
      </c>
      <c r="E1124" s="195" t="s">
        <v>373</v>
      </c>
      <c r="F1124" s="71" t="s">
        <v>508</v>
      </c>
      <c r="G1124" s="71" t="s">
        <v>1413</v>
      </c>
      <c r="H1124" s="71" t="s">
        <v>1395</v>
      </c>
      <c r="I1124" s="71" t="s">
        <v>1385</v>
      </c>
    </row>
    <row r="1125" spans="1:9" ht="43.5" x14ac:dyDescent="0.35">
      <c r="A1125" s="195">
        <v>7</v>
      </c>
      <c r="B1125" s="195">
        <v>175</v>
      </c>
      <c r="C1125" s="195" t="s">
        <v>1562</v>
      </c>
      <c r="D1125" s="195">
        <v>0</v>
      </c>
      <c r="E1125" s="195" t="s">
        <v>373</v>
      </c>
      <c r="F1125" s="71" t="s">
        <v>508</v>
      </c>
      <c r="G1125" s="71" t="s">
        <v>1413</v>
      </c>
      <c r="H1125" s="71" t="s">
        <v>1395</v>
      </c>
      <c r="I1125" s="71" t="s">
        <v>1387</v>
      </c>
    </row>
    <row r="1126" spans="1:9" ht="43.5" x14ac:dyDescent="0.35">
      <c r="A1126" s="195">
        <v>7</v>
      </c>
      <c r="B1126" s="195">
        <v>176</v>
      </c>
      <c r="C1126" s="195" t="s">
        <v>1563</v>
      </c>
      <c r="D1126" s="64">
        <v>21365</v>
      </c>
      <c r="E1126" s="195" t="s">
        <v>366</v>
      </c>
      <c r="F1126" s="71" t="s">
        <v>508</v>
      </c>
      <c r="G1126" s="71" t="s">
        <v>1413</v>
      </c>
      <c r="H1126" s="71" t="s">
        <v>1401</v>
      </c>
      <c r="I1126" s="71" t="s">
        <v>1374</v>
      </c>
    </row>
    <row r="1127" spans="1:9" ht="43.5" x14ac:dyDescent="0.35">
      <c r="A1127" s="195">
        <v>7</v>
      </c>
      <c r="B1127" s="195">
        <v>177</v>
      </c>
      <c r="C1127" s="195" t="s">
        <v>1564</v>
      </c>
      <c r="D1127" s="64">
        <v>6020</v>
      </c>
      <c r="E1127" s="195" t="s">
        <v>373</v>
      </c>
      <c r="F1127" s="71" t="s">
        <v>508</v>
      </c>
      <c r="G1127" s="71" t="s">
        <v>1413</v>
      </c>
      <c r="H1127" s="71" t="s">
        <v>1401</v>
      </c>
      <c r="I1127" s="71" t="s">
        <v>1381</v>
      </c>
    </row>
    <row r="1128" spans="1:9" ht="43.5" x14ac:dyDescent="0.35">
      <c r="A1128" s="195">
        <v>7</v>
      </c>
      <c r="B1128" s="195">
        <v>178</v>
      </c>
      <c r="C1128" s="195" t="s">
        <v>1565</v>
      </c>
      <c r="D1128" s="64">
        <v>8740</v>
      </c>
      <c r="E1128" s="195" t="s">
        <v>373</v>
      </c>
      <c r="F1128" s="71" t="s">
        <v>508</v>
      </c>
      <c r="G1128" s="71" t="s">
        <v>1413</v>
      </c>
      <c r="H1128" s="71" t="s">
        <v>1401</v>
      </c>
      <c r="I1128" s="71" t="s">
        <v>1383</v>
      </c>
    </row>
    <row r="1129" spans="1:9" ht="43.5" x14ac:dyDescent="0.35">
      <c r="A1129" s="195">
        <v>7</v>
      </c>
      <c r="B1129" s="195">
        <v>179</v>
      </c>
      <c r="C1129" s="195" t="s">
        <v>1566</v>
      </c>
      <c r="D1129" s="64">
        <v>6600</v>
      </c>
      <c r="E1129" s="195" t="s">
        <v>373</v>
      </c>
      <c r="F1129" s="71" t="s">
        <v>508</v>
      </c>
      <c r="G1129" s="71" t="s">
        <v>1413</v>
      </c>
      <c r="H1129" s="71" t="s">
        <v>1401</v>
      </c>
      <c r="I1129" s="71" t="s">
        <v>1385</v>
      </c>
    </row>
    <row r="1130" spans="1:9" ht="43.5" x14ac:dyDescent="0.35">
      <c r="A1130" s="195">
        <v>7</v>
      </c>
      <c r="B1130" s="195">
        <v>180</v>
      </c>
      <c r="C1130" s="195" t="s">
        <v>1567</v>
      </c>
      <c r="D1130" s="195">
        <v>0</v>
      </c>
      <c r="E1130" s="195" t="s">
        <v>373</v>
      </c>
      <c r="F1130" s="71" t="s">
        <v>508</v>
      </c>
      <c r="G1130" s="71" t="s">
        <v>1413</v>
      </c>
      <c r="H1130" s="71" t="s">
        <v>1401</v>
      </c>
      <c r="I1130" s="71" t="s">
        <v>1387</v>
      </c>
    </row>
    <row r="1131" spans="1:9" ht="43.5" x14ac:dyDescent="0.35">
      <c r="A1131" s="195">
        <v>7</v>
      </c>
      <c r="B1131" s="195">
        <v>181</v>
      </c>
      <c r="C1131" s="195" t="s">
        <v>1568</v>
      </c>
      <c r="D1131" s="64">
        <v>43795</v>
      </c>
      <c r="E1131" s="195" t="s">
        <v>366</v>
      </c>
      <c r="F1131" s="71" t="s">
        <v>508</v>
      </c>
      <c r="G1131" s="71" t="s">
        <v>1413</v>
      </c>
      <c r="H1131" s="71" t="s">
        <v>1407</v>
      </c>
      <c r="I1131" s="71" t="s">
        <v>1374</v>
      </c>
    </row>
    <row r="1132" spans="1:9" ht="43.5" x14ac:dyDescent="0.35">
      <c r="A1132" s="195">
        <v>7</v>
      </c>
      <c r="B1132" s="195">
        <v>182</v>
      </c>
      <c r="C1132" s="195" t="s">
        <v>1569</v>
      </c>
      <c r="D1132" s="64">
        <v>6420</v>
      </c>
      <c r="E1132" s="195" t="s">
        <v>373</v>
      </c>
      <c r="F1132" s="71" t="s">
        <v>508</v>
      </c>
      <c r="G1132" s="71" t="s">
        <v>1413</v>
      </c>
      <c r="H1132" s="71" t="s">
        <v>1407</v>
      </c>
      <c r="I1132" s="71" t="s">
        <v>1381</v>
      </c>
    </row>
    <row r="1133" spans="1:9" ht="43.5" x14ac:dyDescent="0.35">
      <c r="A1133" s="195">
        <v>7</v>
      </c>
      <c r="B1133" s="195">
        <v>183</v>
      </c>
      <c r="C1133" s="195" t="s">
        <v>1570</v>
      </c>
      <c r="D1133" s="64">
        <v>22560</v>
      </c>
      <c r="E1133" s="195" t="s">
        <v>373</v>
      </c>
      <c r="F1133" s="71" t="s">
        <v>508</v>
      </c>
      <c r="G1133" s="71" t="s">
        <v>1413</v>
      </c>
      <c r="H1133" s="71" t="s">
        <v>1407</v>
      </c>
      <c r="I1133" s="71" t="s">
        <v>1383</v>
      </c>
    </row>
    <row r="1134" spans="1:9" ht="43.5" x14ac:dyDescent="0.35">
      <c r="A1134" s="195">
        <v>7</v>
      </c>
      <c r="B1134" s="195">
        <v>184</v>
      </c>
      <c r="C1134" s="195" t="s">
        <v>1571</v>
      </c>
      <c r="D1134" s="64">
        <v>14815</v>
      </c>
      <c r="E1134" s="195" t="s">
        <v>373</v>
      </c>
      <c r="F1134" s="71" t="s">
        <v>508</v>
      </c>
      <c r="G1134" s="71" t="s">
        <v>1413</v>
      </c>
      <c r="H1134" s="71" t="s">
        <v>1407</v>
      </c>
      <c r="I1134" s="71" t="s">
        <v>1385</v>
      </c>
    </row>
    <row r="1135" spans="1:9" ht="43.5" x14ac:dyDescent="0.35">
      <c r="A1135" s="195">
        <v>7</v>
      </c>
      <c r="B1135" s="195">
        <v>185</v>
      </c>
      <c r="C1135" s="195" t="s">
        <v>1572</v>
      </c>
      <c r="D1135" s="195">
        <v>0</v>
      </c>
      <c r="E1135" s="195" t="s">
        <v>373</v>
      </c>
      <c r="F1135" s="71" t="s">
        <v>508</v>
      </c>
      <c r="G1135" s="71" t="s">
        <v>1413</v>
      </c>
      <c r="H1135" s="71" t="s">
        <v>1407</v>
      </c>
      <c r="I1135" s="71" t="s">
        <v>1387</v>
      </c>
    </row>
    <row r="1136" spans="1:9" ht="43.5" x14ac:dyDescent="0.35">
      <c r="A1136" s="195">
        <v>7</v>
      </c>
      <c r="B1136" s="195">
        <v>186</v>
      </c>
      <c r="C1136" s="195" t="s">
        <v>1573</v>
      </c>
      <c r="D1136" s="64">
        <v>153425</v>
      </c>
      <c r="E1136" s="195" t="s">
        <v>366</v>
      </c>
      <c r="F1136" s="71" t="s">
        <v>508</v>
      </c>
      <c r="G1136" s="71" t="s">
        <v>1440</v>
      </c>
      <c r="H1136" s="71" t="s">
        <v>982</v>
      </c>
      <c r="I1136" s="71" t="s">
        <v>1374</v>
      </c>
    </row>
    <row r="1137" spans="1:9" ht="43.5" x14ac:dyDescent="0.35">
      <c r="A1137" s="195">
        <v>7</v>
      </c>
      <c r="B1137" s="195">
        <v>187</v>
      </c>
      <c r="C1137" s="195" t="s">
        <v>1574</v>
      </c>
      <c r="D1137" s="64">
        <v>6670</v>
      </c>
      <c r="E1137" s="195" t="s">
        <v>366</v>
      </c>
      <c r="F1137" s="71" t="s">
        <v>508</v>
      </c>
      <c r="G1137" s="71" t="s">
        <v>1440</v>
      </c>
      <c r="H1137" s="71" t="s">
        <v>1379</v>
      </c>
      <c r="I1137" s="71" t="s">
        <v>1374</v>
      </c>
    </row>
    <row r="1138" spans="1:9" ht="43.5" x14ac:dyDescent="0.35">
      <c r="A1138" s="195">
        <v>7</v>
      </c>
      <c r="B1138" s="195">
        <v>188</v>
      </c>
      <c r="C1138" s="195" t="s">
        <v>1575</v>
      </c>
      <c r="D1138" s="64">
        <v>4600</v>
      </c>
      <c r="E1138" s="195" t="s">
        <v>373</v>
      </c>
      <c r="F1138" s="71" t="s">
        <v>508</v>
      </c>
      <c r="G1138" s="71" t="s">
        <v>1440</v>
      </c>
      <c r="H1138" s="71" t="s">
        <v>1379</v>
      </c>
      <c r="I1138" s="71" t="s">
        <v>1381</v>
      </c>
    </row>
    <row r="1139" spans="1:9" ht="43.5" x14ac:dyDescent="0.35">
      <c r="A1139" s="195">
        <v>7</v>
      </c>
      <c r="B1139" s="195">
        <v>189</v>
      </c>
      <c r="C1139" s="195" t="s">
        <v>1576</v>
      </c>
      <c r="D1139" s="64">
        <v>1740</v>
      </c>
      <c r="E1139" s="195" t="s">
        <v>373</v>
      </c>
      <c r="F1139" s="71" t="s">
        <v>508</v>
      </c>
      <c r="G1139" s="71" t="s">
        <v>1440</v>
      </c>
      <c r="H1139" s="71" t="s">
        <v>1379</v>
      </c>
      <c r="I1139" s="71" t="s">
        <v>1383</v>
      </c>
    </row>
    <row r="1140" spans="1:9" ht="43.5" x14ac:dyDescent="0.35">
      <c r="A1140" s="195">
        <v>7</v>
      </c>
      <c r="B1140" s="195">
        <v>190</v>
      </c>
      <c r="C1140" s="195" t="s">
        <v>1577</v>
      </c>
      <c r="D1140" s="195">
        <v>330</v>
      </c>
      <c r="E1140" s="195" t="s">
        <v>373</v>
      </c>
      <c r="F1140" s="71" t="s">
        <v>508</v>
      </c>
      <c r="G1140" s="71" t="s">
        <v>1440</v>
      </c>
      <c r="H1140" s="71" t="s">
        <v>1379</v>
      </c>
      <c r="I1140" s="71" t="s">
        <v>1385</v>
      </c>
    </row>
    <row r="1141" spans="1:9" ht="43.5" x14ac:dyDescent="0.35">
      <c r="A1141" s="195">
        <v>7</v>
      </c>
      <c r="B1141" s="195">
        <v>191</v>
      </c>
      <c r="C1141" s="195" t="s">
        <v>1578</v>
      </c>
      <c r="D1141" s="195">
        <v>0</v>
      </c>
      <c r="E1141" s="195" t="s">
        <v>373</v>
      </c>
      <c r="F1141" s="71" t="s">
        <v>508</v>
      </c>
      <c r="G1141" s="71" t="s">
        <v>1440</v>
      </c>
      <c r="H1141" s="71" t="s">
        <v>1379</v>
      </c>
      <c r="I1141" s="71" t="s">
        <v>1387</v>
      </c>
    </row>
    <row r="1142" spans="1:9" ht="58" x14ac:dyDescent="0.35">
      <c r="A1142" s="195">
        <v>7</v>
      </c>
      <c r="B1142" s="195">
        <v>192</v>
      </c>
      <c r="C1142" s="195" t="s">
        <v>1579</v>
      </c>
      <c r="D1142" s="64">
        <v>58790</v>
      </c>
      <c r="E1142" s="195" t="s">
        <v>366</v>
      </c>
      <c r="F1142" s="71" t="s">
        <v>508</v>
      </c>
      <c r="G1142" s="71" t="s">
        <v>1440</v>
      </c>
      <c r="H1142" s="71" t="s">
        <v>1389</v>
      </c>
      <c r="I1142" s="71" t="s">
        <v>1374</v>
      </c>
    </row>
    <row r="1143" spans="1:9" ht="58" x14ac:dyDescent="0.35">
      <c r="A1143" s="195">
        <v>7</v>
      </c>
      <c r="B1143" s="195">
        <v>193</v>
      </c>
      <c r="C1143" s="195" t="s">
        <v>1580</v>
      </c>
      <c r="D1143" s="64">
        <v>41690</v>
      </c>
      <c r="E1143" s="195" t="s">
        <v>373</v>
      </c>
      <c r="F1143" s="71" t="s">
        <v>508</v>
      </c>
      <c r="G1143" s="71" t="s">
        <v>1440</v>
      </c>
      <c r="H1143" s="71" t="s">
        <v>1389</v>
      </c>
      <c r="I1143" s="71" t="s">
        <v>1381</v>
      </c>
    </row>
    <row r="1144" spans="1:9" ht="58" x14ac:dyDescent="0.35">
      <c r="A1144" s="195">
        <v>7</v>
      </c>
      <c r="B1144" s="195">
        <v>194</v>
      </c>
      <c r="C1144" s="195" t="s">
        <v>1581</v>
      </c>
      <c r="D1144" s="64">
        <v>15360</v>
      </c>
      <c r="E1144" s="195" t="s">
        <v>373</v>
      </c>
      <c r="F1144" s="71" t="s">
        <v>508</v>
      </c>
      <c r="G1144" s="71" t="s">
        <v>1440</v>
      </c>
      <c r="H1144" s="71" t="s">
        <v>1389</v>
      </c>
      <c r="I1144" s="71" t="s">
        <v>1383</v>
      </c>
    </row>
    <row r="1145" spans="1:9" ht="58" x14ac:dyDescent="0.35">
      <c r="A1145" s="195">
        <v>7</v>
      </c>
      <c r="B1145" s="195">
        <v>195</v>
      </c>
      <c r="C1145" s="195" t="s">
        <v>1582</v>
      </c>
      <c r="D1145" s="64">
        <v>1735</v>
      </c>
      <c r="E1145" s="195" t="s">
        <v>373</v>
      </c>
      <c r="F1145" s="71" t="s">
        <v>508</v>
      </c>
      <c r="G1145" s="71" t="s">
        <v>1440</v>
      </c>
      <c r="H1145" s="71" t="s">
        <v>1389</v>
      </c>
      <c r="I1145" s="71" t="s">
        <v>1385</v>
      </c>
    </row>
    <row r="1146" spans="1:9" ht="58" x14ac:dyDescent="0.35">
      <c r="A1146" s="195">
        <v>7</v>
      </c>
      <c r="B1146" s="195">
        <v>196</v>
      </c>
      <c r="C1146" s="195" t="s">
        <v>1583</v>
      </c>
      <c r="D1146" s="195">
        <v>0</v>
      </c>
      <c r="E1146" s="195" t="s">
        <v>373</v>
      </c>
      <c r="F1146" s="71" t="s">
        <v>508</v>
      </c>
      <c r="G1146" s="71" t="s">
        <v>1440</v>
      </c>
      <c r="H1146" s="71" t="s">
        <v>1389</v>
      </c>
      <c r="I1146" s="71" t="s">
        <v>1387</v>
      </c>
    </row>
    <row r="1147" spans="1:9" ht="43.5" x14ac:dyDescent="0.35">
      <c r="A1147" s="195">
        <v>7</v>
      </c>
      <c r="B1147" s="195">
        <v>197</v>
      </c>
      <c r="C1147" s="195" t="s">
        <v>1584</v>
      </c>
      <c r="D1147" s="64">
        <v>13945</v>
      </c>
      <c r="E1147" s="195" t="s">
        <v>366</v>
      </c>
      <c r="F1147" s="71" t="s">
        <v>508</v>
      </c>
      <c r="G1147" s="71" t="s">
        <v>1440</v>
      </c>
      <c r="H1147" s="71" t="s">
        <v>1395</v>
      </c>
      <c r="I1147" s="71" t="s">
        <v>1374</v>
      </c>
    </row>
    <row r="1148" spans="1:9" ht="43.5" x14ac:dyDescent="0.35">
      <c r="A1148" s="195">
        <v>7</v>
      </c>
      <c r="B1148" s="195">
        <v>198</v>
      </c>
      <c r="C1148" s="195" t="s">
        <v>1585</v>
      </c>
      <c r="D1148" s="64">
        <v>11070</v>
      </c>
      <c r="E1148" s="195" t="s">
        <v>373</v>
      </c>
      <c r="F1148" s="71" t="s">
        <v>508</v>
      </c>
      <c r="G1148" s="71" t="s">
        <v>1440</v>
      </c>
      <c r="H1148" s="71" t="s">
        <v>1395</v>
      </c>
      <c r="I1148" s="71" t="s">
        <v>1381</v>
      </c>
    </row>
    <row r="1149" spans="1:9" ht="43.5" x14ac:dyDescent="0.35">
      <c r="A1149" s="195">
        <v>7</v>
      </c>
      <c r="B1149" s="195">
        <v>199</v>
      </c>
      <c r="C1149" s="195" t="s">
        <v>1586</v>
      </c>
      <c r="D1149" s="64">
        <v>2810</v>
      </c>
      <c r="E1149" s="195" t="s">
        <v>373</v>
      </c>
      <c r="F1149" s="71" t="s">
        <v>508</v>
      </c>
      <c r="G1149" s="71" t="s">
        <v>1440</v>
      </c>
      <c r="H1149" s="71" t="s">
        <v>1395</v>
      </c>
      <c r="I1149" s="71" t="s">
        <v>1383</v>
      </c>
    </row>
    <row r="1150" spans="1:9" ht="43.5" x14ac:dyDescent="0.35">
      <c r="A1150" s="195">
        <v>7</v>
      </c>
      <c r="B1150" s="195">
        <v>200</v>
      </c>
      <c r="C1150" s="195" t="s">
        <v>1587</v>
      </c>
      <c r="D1150" s="195">
        <v>65</v>
      </c>
      <c r="E1150" s="195" t="s">
        <v>373</v>
      </c>
      <c r="F1150" s="71" t="s">
        <v>508</v>
      </c>
      <c r="G1150" s="71" t="s">
        <v>1440</v>
      </c>
      <c r="H1150" s="71" t="s">
        <v>1395</v>
      </c>
      <c r="I1150" s="71" t="s">
        <v>1385</v>
      </c>
    </row>
    <row r="1151" spans="1:9" ht="43.5" x14ac:dyDescent="0.35">
      <c r="A1151" s="195">
        <v>7</v>
      </c>
      <c r="B1151" s="195">
        <v>201</v>
      </c>
      <c r="C1151" s="195" t="s">
        <v>1588</v>
      </c>
      <c r="D1151" s="195">
        <v>0</v>
      </c>
      <c r="E1151" s="195" t="s">
        <v>373</v>
      </c>
      <c r="F1151" s="71" t="s">
        <v>508</v>
      </c>
      <c r="G1151" s="71" t="s">
        <v>1440</v>
      </c>
      <c r="H1151" s="71" t="s">
        <v>1395</v>
      </c>
      <c r="I1151" s="71" t="s">
        <v>1387</v>
      </c>
    </row>
    <row r="1152" spans="1:9" ht="43.5" x14ac:dyDescent="0.35">
      <c r="A1152" s="195">
        <v>7</v>
      </c>
      <c r="B1152" s="195">
        <v>202</v>
      </c>
      <c r="C1152" s="195" t="s">
        <v>1589</v>
      </c>
      <c r="D1152" s="64">
        <v>12475</v>
      </c>
      <c r="E1152" s="195" t="s">
        <v>366</v>
      </c>
      <c r="F1152" s="71" t="s">
        <v>508</v>
      </c>
      <c r="G1152" s="71" t="s">
        <v>1440</v>
      </c>
      <c r="H1152" s="71" t="s">
        <v>1401</v>
      </c>
      <c r="I1152" s="71" t="s">
        <v>1374</v>
      </c>
    </row>
    <row r="1153" spans="1:9" ht="43.5" x14ac:dyDescent="0.35">
      <c r="A1153" s="195">
        <v>7</v>
      </c>
      <c r="B1153" s="195">
        <v>203</v>
      </c>
      <c r="C1153" s="195" t="s">
        <v>1590</v>
      </c>
      <c r="D1153" s="64">
        <v>7030</v>
      </c>
      <c r="E1153" s="195" t="s">
        <v>373</v>
      </c>
      <c r="F1153" s="71" t="s">
        <v>508</v>
      </c>
      <c r="G1153" s="71" t="s">
        <v>1440</v>
      </c>
      <c r="H1153" s="71" t="s">
        <v>1401</v>
      </c>
      <c r="I1153" s="71" t="s">
        <v>1381</v>
      </c>
    </row>
    <row r="1154" spans="1:9" ht="43.5" x14ac:dyDescent="0.35">
      <c r="A1154" s="195">
        <v>7</v>
      </c>
      <c r="B1154" s="195">
        <v>204</v>
      </c>
      <c r="C1154" s="195" t="s">
        <v>1591</v>
      </c>
      <c r="D1154" s="64">
        <v>4020</v>
      </c>
      <c r="E1154" s="195" t="s">
        <v>373</v>
      </c>
      <c r="F1154" s="71" t="s">
        <v>508</v>
      </c>
      <c r="G1154" s="71" t="s">
        <v>1440</v>
      </c>
      <c r="H1154" s="71" t="s">
        <v>1401</v>
      </c>
      <c r="I1154" s="71" t="s">
        <v>1383</v>
      </c>
    </row>
    <row r="1155" spans="1:9" ht="43.5" x14ac:dyDescent="0.35">
      <c r="A1155" s="195">
        <v>7</v>
      </c>
      <c r="B1155" s="195">
        <v>205</v>
      </c>
      <c r="C1155" s="195" t="s">
        <v>1592</v>
      </c>
      <c r="D1155" s="64">
        <v>1425</v>
      </c>
      <c r="E1155" s="195" t="s">
        <v>373</v>
      </c>
      <c r="F1155" s="71" t="s">
        <v>508</v>
      </c>
      <c r="G1155" s="71" t="s">
        <v>1440</v>
      </c>
      <c r="H1155" s="71" t="s">
        <v>1401</v>
      </c>
      <c r="I1155" s="71" t="s">
        <v>1385</v>
      </c>
    </row>
    <row r="1156" spans="1:9" ht="43.5" x14ac:dyDescent="0.35">
      <c r="A1156" s="195">
        <v>7</v>
      </c>
      <c r="B1156" s="195">
        <v>206</v>
      </c>
      <c r="C1156" s="195" t="s">
        <v>1593</v>
      </c>
      <c r="D1156" s="195">
        <v>0</v>
      </c>
      <c r="E1156" s="195" t="s">
        <v>373</v>
      </c>
      <c r="F1156" s="71" t="s">
        <v>508</v>
      </c>
      <c r="G1156" s="71" t="s">
        <v>1440</v>
      </c>
      <c r="H1156" s="71" t="s">
        <v>1401</v>
      </c>
      <c r="I1156" s="71" t="s">
        <v>1387</v>
      </c>
    </row>
    <row r="1157" spans="1:9" ht="43.5" x14ac:dyDescent="0.35">
      <c r="A1157" s="195">
        <v>7</v>
      </c>
      <c r="B1157" s="195">
        <v>207</v>
      </c>
      <c r="C1157" s="195" t="s">
        <v>1594</v>
      </c>
      <c r="D1157" s="64">
        <v>61545</v>
      </c>
      <c r="E1157" s="195" t="s">
        <v>366</v>
      </c>
      <c r="F1157" s="71" t="s">
        <v>508</v>
      </c>
      <c r="G1157" s="71" t="s">
        <v>1440</v>
      </c>
      <c r="H1157" s="71" t="s">
        <v>1407</v>
      </c>
      <c r="I1157" s="71" t="s">
        <v>1374</v>
      </c>
    </row>
    <row r="1158" spans="1:9" ht="43.5" x14ac:dyDescent="0.35">
      <c r="A1158" s="195">
        <v>7</v>
      </c>
      <c r="B1158" s="195">
        <v>208</v>
      </c>
      <c r="C1158" s="195" t="s">
        <v>1595</v>
      </c>
      <c r="D1158" s="64">
        <v>34465</v>
      </c>
      <c r="E1158" s="195" t="s">
        <v>373</v>
      </c>
      <c r="F1158" s="71" t="s">
        <v>508</v>
      </c>
      <c r="G1158" s="71" t="s">
        <v>1440</v>
      </c>
      <c r="H1158" s="71" t="s">
        <v>1407</v>
      </c>
      <c r="I1158" s="71" t="s">
        <v>1381</v>
      </c>
    </row>
    <row r="1159" spans="1:9" ht="43.5" x14ac:dyDescent="0.35">
      <c r="A1159" s="195">
        <v>7</v>
      </c>
      <c r="B1159" s="195">
        <v>209</v>
      </c>
      <c r="C1159" s="195" t="s">
        <v>1596</v>
      </c>
      <c r="D1159" s="64">
        <v>22925</v>
      </c>
      <c r="E1159" s="195" t="s">
        <v>373</v>
      </c>
      <c r="F1159" s="71" t="s">
        <v>508</v>
      </c>
      <c r="G1159" s="71" t="s">
        <v>1440</v>
      </c>
      <c r="H1159" s="71" t="s">
        <v>1407</v>
      </c>
      <c r="I1159" s="71" t="s">
        <v>1383</v>
      </c>
    </row>
    <row r="1160" spans="1:9" ht="43.5" x14ac:dyDescent="0.35">
      <c r="A1160" s="195">
        <v>7</v>
      </c>
      <c r="B1160" s="195">
        <v>210</v>
      </c>
      <c r="C1160" s="195" t="s">
        <v>1597</v>
      </c>
      <c r="D1160" s="64">
        <v>4155</v>
      </c>
      <c r="E1160" s="195" t="s">
        <v>373</v>
      </c>
      <c r="F1160" s="71" t="s">
        <v>508</v>
      </c>
      <c r="G1160" s="71" t="s">
        <v>1440</v>
      </c>
      <c r="H1160" s="71" t="s">
        <v>1407</v>
      </c>
      <c r="I1160" s="71" t="s">
        <v>1385</v>
      </c>
    </row>
    <row r="1161" spans="1:9" ht="43.5" x14ac:dyDescent="0.35">
      <c r="A1161" s="195">
        <v>7</v>
      </c>
      <c r="B1161" s="195">
        <v>211</v>
      </c>
      <c r="C1161" s="195" t="s">
        <v>1598</v>
      </c>
      <c r="D1161" s="195">
        <v>0</v>
      </c>
      <c r="E1161" s="195" t="s">
        <v>373</v>
      </c>
      <c r="F1161" s="71" t="s">
        <v>508</v>
      </c>
      <c r="G1161" s="71" t="s">
        <v>1440</v>
      </c>
      <c r="H1161" s="71" t="s">
        <v>1407</v>
      </c>
      <c r="I1161" s="71" t="s">
        <v>1387</v>
      </c>
    </row>
    <row r="1162" spans="1:9" ht="43.5" x14ac:dyDescent="0.35">
      <c r="A1162" s="195">
        <v>7</v>
      </c>
      <c r="B1162" s="195">
        <v>212</v>
      </c>
      <c r="C1162" s="195" t="s">
        <v>1599</v>
      </c>
      <c r="D1162" s="64">
        <v>73005</v>
      </c>
      <c r="E1162" s="195" t="s">
        <v>366</v>
      </c>
      <c r="F1162" s="71" t="s">
        <v>508</v>
      </c>
      <c r="G1162" s="71" t="s">
        <v>1467</v>
      </c>
      <c r="H1162" s="71" t="s">
        <v>982</v>
      </c>
      <c r="I1162" s="71" t="s">
        <v>1374</v>
      </c>
    </row>
    <row r="1163" spans="1:9" ht="43.5" x14ac:dyDescent="0.35">
      <c r="A1163" s="195">
        <v>7</v>
      </c>
      <c r="B1163" s="195">
        <v>213</v>
      </c>
      <c r="C1163" s="195" t="s">
        <v>1600</v>
      </c>
      <c r="D1163" s="64">
        <v>2260</v>
      </c>
      <c r="E1163" s="195" t="s">
        <v>366</v>
      </c>
      <c r="F1163" s="71" t="s">
        <v>508</v>
      </c>
      <c r="G1163" s="71" t="s">
        <v>1467</v>
      </c>
      <c r="H1163" s="71" t="s">
        <v>1379</v>
      </c>
      <c r="I1163" s="71" t="s">
        <v>1374</v>
      </c>
    </row>
    <row r="1164" spans="1:9" ht="43.5" x14ac:dyDescent="0.35">
      <c r="A1164" s="195">
        <v>7</v>
      </c>
      <c r="B1164" s="195">
        <v>214</v>
      </c>
      <c r="C1164" s="195" t="s">
        <v>1601</v>
      </c>
      <c r="D1164" s="64">
        <v>2015</v>
      </c>
      <c r="E1164" s="195" t="s">
        <v>373</v>
      </c>
      <c r="F1164" s="71" t="s">
        <v>508</v>
      </c>
      <c r="G1164" s="71" t="s">
        <v>1467</v>
      </c>
      <c r="H1164" s="71" t="s">
        <v>1379</v>
      </c>
      <c r="I1164" s="71" t="s">
        <v>1381</v>
      </c>
    </row>
    <row r="1165" spans="1:9" ht="43.5" x14ac:dyDescent="0.35">
      <c r="A1165" s="195">
        <v>7</v>
      </c>
      <c r="B1165" s="195">
        <v>215</v>
      </c>
      <c r="C1165" s="195" t="s">
        <v>1602</v>
      </c>
      <c r="D1165" s="195">
        <v>210</v>
      </c>
      <c r="E1165" s="195" t="s">
        <v>373</v>
      </c>
      <c r="F1165" s="71" t="s">
        <v>508</v>
      </c>
      <c r="G1165" s="71" t="s">
        <v>1467</v>
      </c>
      <c r="H1165" s="71" t="s">
        <v>1379</v>
      </c>
      <c r="I1165" s="71" t="s">
        <v>1383</v>
      </c>
    </row>
    <row r="1166" spans="1:9" ht="43.5" x14ac:dyDescent="0.35">
      <c r="A1166" s="195">
        <v>7</v>
      </c>
      <c r="B1166" s="195">
        <v>216</v>
      </c>
      <c r="C1166" s="195" t="s">
        <v>1603</v>
      </c>
      <c r="D1166" s="195">
        <v>35</v>
      </c>
      <c r="E1166" s="195" t="s">
        <v>373</v>
      </c>
      <c r="F1166" s="71" t="s">
        <v>508</v>
      </c>
      <c r="G1166" s="71" t="s">
        <v>1467</v>
      </c>
      <c r="H1166" s="71" t="s">
        <v>1379</v>
      </c>
      <c r="I1166" s="71" t="s">
        <v>1385</v>
      </c>
    </row>
    <row r="1167" spans="1:9" ht="43.5" x14ac:dyDescent="0.35">
      <c r="A1167" s="195">
        <v>7</v>
      </c>
      <c r="B1167" s="195">
        <v>217</v>
      </c>
      <c r="C1167" s="195" t="s">
        <v>1604</v>
      </c>
      <c r="D1167" s="195">
        <v>0</v>
      </c>
      <c r="E1167" s="195" t="s">
        <v>373</v>
      </c>
      <c r="F1167" s="71" t="s">
        <v>508</v>
      </c>
      <c r="G1167" s="71" t="s">
        <v>1467</v>
      </c>
      <c r="H1167" s="71" t="s">
        <v>1379</v>
      </c>
      <c r="I1167" s="71" t="s">
        <v>1387</v>
      </c>
    </row>
    <row r="1168" spans="1:9" ht="58" x14ac:dyDescent="0.35">
      <c r="A1168" s="195">
        <v>7</v>
      </c>
      <c r="B1168" s="195">
        <v>218</v>
      </c>
      <c r="C1168" s="195" t="s">
        <v>1605</v>
      </c>
      <c r="D1168" s="64">
        <v>28155</v>
      </c>
      <c r="E1168" s="195" t="s">
        <v>366</v>
      </c>
      <c r="F1168" s="71" t="s">
        <v>508</v>
      </c>
      <c r="G1168" s="71" t="s">
        <v>1467</v>
      </c>
      <c r="H1168" s="71" t="s">
        <v>1389</v>
      </c>
      <c r="I1168" s="71" t="s">
        <v>1374</v>
      </c>
    </row>
    <row r="1169" spans="1:9" ht="58" x14ac:dyDescent="0.35">
      <c r="A1169" s="195">
        <v>7</v>
      </c>
      <c r="B1169" s="195">
        <v>219</v>
      </c>
      <c r="C1169" s="195" t="s">
        <v>1606</v>
      </c>
      <c r="D1169" s="64">
        <v>25480</v>
      </c>
      <c r="E1169" s="195" t="s">
        <v>373</v>
      </c>
      <c r="F1169" s="71" t="s">
        <v>508</v>
      </c>
      <c r="G1169" s="71" t="s">
        <v>1467</v>
      </c>
      <c r="H1169" s="71" t="s">
        <v>1389</v>
      </c>
      <c r="I1169" s="71" t="s">
        <v>1381</v>
      </c>
    </row>
    <row r="1170" spans="1:9" ht="58" x14ac:dyDescent="0.35">
      <c r="A1170" s="195">
        <v>7</v>
      </c>
      <c r="B1170" s="195">
        <v>220</v>
      </c>
      <c r="C1170" s="195" t="s">
        <v>1607</v>
      </c>
      <c r="D1170" s="64">
        <v>2540</v>
      </c>
      <c r="E1170" s="195" t="s">
        <v>373</v>
      </c>
      <c r="F1170" s="71" t="s">
        <v>508</v>
      </c>
      <c r="G1170" s="71" t="s">
        <v>1467</v>
      </c>
      <c r="H1170" s="71" t="s">
        <v>1389</v>
      </c>
      <c r="I1170" s="71" t="s">
        <v>1383</v>
      </c>
    </row>
    <row r="1171" spans="1:9" ht="58" x14ac:dyDescent="0.35">
      <c r="A1171" s="195">
        <v>7</v>
      </c>
      <c r="B1171" s="195">
        <v>221</v>
      </c>
      <c r="C1171" s="195" t="s">
        <v>1608</v>
      </c>
      <c r="D1171" s="195">
        <v>135</v>
      </c>
      <c r="E1171" s="195" t="s">
        <v>373</v>
      </c>
      <c r="F1171" s="71" t="s">
        <v>508</v>
      </c>
      <c r="G1171" s="71" t="s">
        <v>1467</v>
      </c>
      <c r="H1171" s="71" t="s">
        <v>1389</v>
      </c>
      <c r="I1171" s="71" t="s">
        <v>1385</v>
      </c>
    </row>
    <row r="1172" spans="1:9" ht="58" x14ac:dyDescent="0.35">
      <c r="A1172" s="195">
        <v>7</v>
      </c>
      <c r="B1172" s="195">
        <v>222</v>
      </c>
      <c r="C1172" s="195" t="s">
        <v>1609</v>
      </c>
      <c r="D1172" s="195">
        <v>0</v>
      </c>
      <c r="E1172" s="195" t="s">
        <v>373</v>
      </c>
      <c r="F1172" s="71" t="s">
        <v>508</v>
      </c>
      <c r="G1172" s="71" t="s">
        <v>1467</v>
      </c>
      <c r="H1172" s="71" t="s">
        <v>1389</v>
      </c>
      <c r="I1172" s="71" t="s">
        <v>1387</v>
      </c>
    </row>
    <row r="1173" spans="1:9" ht="43.5" x14ac:dyDescent="0.35">
      <c r="A1173" s="195">
        <v>7</v>
      </c>
      <c r="B1173" s="195">
        <v>223</v>
      </c>
      <c r="C1173" s="195" t="s">
        <v>1610</v>
      </c>
      <c r="D1173" s="64">
        <v>4705</v>
      </c>
      <c r="E1173" s="195" t="s">
        <v>366</v>
      </c>
      <c r="F1173" s="71" t="s">
        <v>508</v>
      </c>
      <c r="G1173" s="71" t="s">
        <v>1467</v>
      </c>
      <c r="H1173" s="71" t="s">
        <v>1395</v>
      </c>
      <c r="I1173" s="71" t="s">
        <v>1374</v>
      </c>
    </row>
    <row r="1174" spans="1:9" ht="43.5" x14ac:dyDescent="0.35">
      <c r="A1174" s="195">
        <v>7</v>
      </c>
      <c r="B1174" s="195">
        <v>224</v>
      </c>
      <c r="C1174" s="195" t="s">
        <v>1611</v>
      </c>
      <c r="D1174" s="64">
        <v>4385</v>
      </c>
      <c r="E1174" s="195" t="s">
        <v>373</v>
      </c>
      <c r="F1174" s="71" t="s">
        <v>508</v>
      </c>
      <c r="G1174" s="71" t="s">
        <v>1467</v>
      </c>
      <c r="H1174" s="71" t="s">
        <v>1395</v>
      </c>
      <c r="I1174" s="71" t="s">
        <v>1381</v>
      </c>
    </row>
    <row r="1175" spans="1:9" ht="43.5" x14ac:dyDescent="0.35">
      <c r="A1175" s="195">
        <v>7</v>
      </c>
      <c r="B1175" s="195">
        <v>225</v>
      </c>
      <c r="C1175" s="195" t="s">
        <v>1612</v>
      </c>
      <c r="D1175" s="195">
        <v>320</v>
      </c>
      <c r="E1175" s="195" t="s">
        <v>373</v>
      </c>
      <c r="F1175" s="71" t="s">
        <v>508</v>
      </c>
      <c r="G1175" s="71" t="s">
        <v>1467</v>
      </c>
      <c r="H1175" s="71" t="s">
        <v>1395</v>
      </c>
      <c r="I1175" s="71" t="s">
        <v>1383</v>
      </c>
    </row>
    <row r="1176" spans="1:9" ht="43.5" x14ac:dyDescent="0.35">
      <c r="A1176" s="195">
        <v>7</v>
      </c>
      <c r="B1176" s="195">
        <v>226</v>
      </c>
      <c r="C1176" s="195" t="s">
        <v>1613</v>
      </c>
      <c r="D1176" s="195">
        <v>0</v>
      </c>
      <c r="E1176" s="195" t="s">
        <v>373</v>
      </c>
      <c r="F1176" s="71" t="s">
        <v>508</v>
      </c>
      <c r="G1176" s="71" t="s">
        <v>1467</v>
      </c>
      <c r="H1176" s="71" t="s">
        <v>1395</v>
      </c>
      <c r="I1176" s="71" t="s">
        <v>1385</v>
      </c>
    </row>
    <row r="1177" spans="1:9" ht="43.5" x14ac:dyDescent="0.35">
      <c r="A1177" s="195">
        <v>7</v>
      </c>
      <c r="B1177" s="195">
        <v>227</v>
      </c>
      <c r="C1177" s="195" t="s">
        <v>1614</v>
      </c>
      <c r="D1177" s="195">
        <v>0</v>
      </c>
      <c r="E1177" s="195" t="s">
        <v>373</v>
      </c>
      <c r="F1177" s="71" t="s">
        <v>508</v>
      </c>
      <c r="G1177" s="71" t="s">
        <v>1467</v>
      </c>
      <c r="H1177" s="71" t="s">
        <v>1395</v>
      </c>
      <c r="I1177" s="71" t="s">
        <v>1387</v>
      </c>
    </row>
    <row r="1178" spans="1:9" ht="43.5" x14ac:dyDescent="0.35">
      <c r="A1178" s="195">
        <v>7</v>
      </c>
      <c r="B1178" s="195">
        <v>228</v>
      </c>
      <c r="C1178" s="195" t="s">
        <v>1615</v>
      </c>
      <c r="D1178" s="64">
        <v>4120</v>
      </c>
      <c r="E1178" s="195" t="s">
        <v>366</v>
      </c>
      <c r="F1178" s="71" t="s">
        <v>508</v>
      </c>
      <c r="G1178" s="71" t="s">
        <v>1467</v>
      </c>
      <c r="H1178" s="71" t="s">
        <v>1401</v>
      </c>
      <c r="I1178" s="71" t="s">
        <v>1374</v>
      </c>
    </row>
    <row r="1179" spans="1:9" ht="43.5" x14ac:dyDescent="0.35">
      <c r="A1179" s="195">
        <v>7</v>
      </c>
      <c r="B1179" s="195">
        <v>229</v>
      </c>
      <c r="C1179" s="195" t="s">
        <v>1616</v>
      </c>
      <c r="D1179" s="64">
        <v>3135</v>
      </c>
      <c r="E1179" s="195" t="s">
        <v>373</v>
      </c>
      <c r="F1179" s="71" t="s">
        <v>508</v>
      </c>
      <c r="G1179" s="71" t="s">
        <v>1467</v>
      </c>
      <c r="H1179" s="71" t="s">
        <v>1401</v>
      </c>
      <c r="I1179" s="71" t="s">
        <v>1381</v>
      </c>
    </row>
    <row r="1180" spans="1:9" ht="43.5" x14ac:dyDescent="0.35">
      <c r="A1180" s="195">
        <v>7</v>
      </c>
      <c r="B1180" s="195">
        <v>230</v>
      </c>
      <c r="C1180" s="195" t="s">
        <v>1617</v>
      </c>
      <c r="D1180" s="195">
        <v>745</v>
      </c>
      <c r="E1180" s="195" t="s">
        <v>373</v>
      </c>
      <c r="F1180" s="71" t="s">
        <v>508</v>
      </c>
      <c r="G1180" s="71" t="s">
        <v>1467</v>
      </c>
      <c r="H1180" s="71" t="s">
        <v>1401</v>
      </c>
      <c r="I1180" s="71" t="s">
        <v>1383</v>
      </c>
    </row>
    <row r="1181" spans="1:9" ht="43.5" x14ac:dyDescent="0.35">
      <c r="A1181" s="195">
        <v>7</v>
      </c>
      <c r="B1181" s="195">
        <v>231</v>
      </c>
      <c r="C1181" s="195" t="s">
        <v>1618</v>
      </c>
      <c r="D1181" s="195">
        <v>240</v>
      </c>
      <c r="E1181" s="195" t="s">
        <v>373</v>
      </c>
      <c r="F1181" s="71" t="s">
        <v>508</v>
      </c>
      <c r="G1181" s="71" t="s">
        <v>1467</v>
      </c>
      <c r="H1181" s="71" t="s">
        <v>1401</v>
      </c>
      <c r="I1181" s="71" t="s">
        <v>1385</v>
      </c>
    </row>
    <row r="1182" spans="1:9" ht="43.5" x14ac:dyDescent="0.35">
      <c r="A1182" s="195">
        <v>7</v>
      </c>
      <c r="B1182" s="195">
        <v>232</v>
      </c>
      <c r="C1182" s="195" t="s">
        <v>1619</v>
      </c>
      <c r="D1182" s="195">
        <v>0</v>
      </c>
      <c r="E1182" s="195" t="s">
        <v>373</v>
      </c>
      <c r="F1182" s="71" t="s">
        <v>508</v>
      </c>
      <c r="G1182" s="71" t="s">
        <v>1467</v>
      </c>
      <c r="H1182" s="71" t="s">
        <v>1401</v>
      </c>
      <c r="I1182" s="71" t="s">
        <v>1387</v>
      </c>
    </row>
    <row r="1183" spans="1:9" ht="43.5" x14ac:dyDescent="0.35">
      <c r="A1183" s="195">
        <v>7</v>
      </c>
      <c r="B1183" s="195">
        <v>233</v>
      </c>
      <c r="C1183" s="195" t="s">
        <v>1620</v>
      </c>
      <c r="D1183" s="64">
        <v>33765</v>
      </c>
      <c r="E1183" s="195" t="s">
        <v>366</v>
      </c>
      <c r="F1183" s="71" t="s">
        <v>508</v>
      </c>
      <c r="G1183" s="71" t="s">
        <v>1467</v>
      </c>
      <c r="H1183" s="71" t="s">
        <v>1407</v>
      </c>
      <c r="I1183" s="71" t="s">
        <v>1374</v>
      </c>
    </row>
    <row r="1184" spans="1:9" ht="43.5" x14ac:dyDescent="0.35">
      <c r="A1184" s="195">
        <v>7</v>
      </c>
      <c r="B1184" s="195">
        <v>234</v>
      </c>
      <c r="C1184" s="195" t="s">
        <v>1621</v>
      </c>
      <c r="D1184" s="64">
        <v>25510</v>
      </c>
      <c r="E1184" s="195" t="s">
        <v>373</v>
      </c>
      <c r="F1184" s="71" t="s">
        <v>508</v>
      </c>
      <c r="G1184" s="71" t="s">
        <v>1467</v>
      </c>
      <c r="H1184" s="71" t="s">
        <v>1407</v>
      </c>
      <c r="I1184" s="71" t="s">
        <v>1381</v>
      </c>
    </row>
    <row r="1185" spans="1:9" ht="43.5" x14ac:dyDescent="0.35">
      <c r="A1185" s="195">
        <v>7</v>
      </c>
      <c r="B1185" s="195">
        <v>235</v>
      </c>
      <c r="C1185" s="195" t="s">
        <v>1622</v>
      </c>
      <c r="D1185" s="64">
        <v>7665</v>
      </c>
      <c r="E1185" s="195" t="s">
        <v>373</v>
      </c>
      <c r="F1185" s="71" t="s">
        <v>508</v>
      </c>
      <c r="G1185" s="71" t="s">
        <v>1467</v>
      </c>
      <c r="H1185" s="71" t="s">
        <v>1407</v>
      </c>
      <c r="I1185" s="71" t="s">
        <v>1383</v>
      </c>
    </row>
    <row r="1186" spans="1:9" ht="43.5" x14ac:dyDescent="0.35">
      <c r="A1186" s="195">
        <v>7</v>
      </c>
      <c r="B1186" s="195">
        <v>236</v>
      </c>
      <c r="C1186" s="195" t="s">
        <v>1623</v>
      </c>
      <c r="D1186" s="195">
        <v>590</v>
      </c>
      <c r="E1186" s="195" t="s">
        <v>373</v>
      </c>
      <c r="F1186" s="71" t="s">
        <v>508</v>
      </c>
      <c r="G1186" s="71" t="s">
        <v>1467</v>
      </c>
      <c r="H1186" s="71" t="s">
        <v>1407</v>
      </c>
      <c r="I1186" s="71" t="s">
        <v>1385</v>
      </c>
    </row>
    <row r="1187" spans="1:9" ht="43.5" x14ac:dyDescent="0.35">
      <c r="A1187" s="195">
        <v>7</v>
      </c>
      <c r="B1187" s="195">
        <v>237</v>
      </c>
      <c r="C1187" s="195" t="s">
        <v>1624</v>
      </c>
      <c r="D1187" s="195">
        <v>0</v>
      </c>
      <c r="E1187" s="195" t="s">
        <v>373</v>
      </c>
      <c r="F1187" s="71" t="s">
        <v>508</v>
      </c>
      <c r="G1187" s="71" t="s">
        <v>1467</v>
      </c>
      <c r="H1187" s="71" t="s">
        <v>1407</v>
      </c>
      <c r="I1187" s="71" t="s">
        <v>1387</v>
      </c>
    </row>
    <row r="1188" spans="1:9" ht="43.5" x14ac:dyDescent="0.35">
      <c r="A1188" s="195">
        <v>7</v>
      </c>
      <c r="B1188" s="195">
        <v>238</v>
      </c>
      <c r="C1188" s="195" t="s">
        <v>1625</v>
      </c>
      <c r="D1188" s="64">
        <v>208925</v>
      </c>
      <c r="E1188" s="195" t="s">
        <v>366</v>
      </c>
      <c r="F1188" s="71" t="s">
        <v>508</v>
      </c>
      <c r="G1188" s="71" t="s">
        <v>1494</v>
      </c>
      <c r="H1188" s="71" t="s">
        <v>982</v>
      </c>
      <c r="I1188" s="71" t="s">
        <v>1374</v>
      </c>
    </row>
    <row r="1189" spans="1:9" ht="43.5" x14ac:dyDescent="0.35">
      <c r="A1189" s="195">
        <v>7</v>
      </c>
      <c r="B1189" s="195">
        <v>239</v>
      </c>
      <c r="C1189" s="195" t="s">
        <v>1626</v>
      </c>
      <c r="D1189" s="64">
        <v>6785</v>
      </c>
      <c r="E1189" s="195" t="s">
        <v>366</v>
      </c>
      <c r="F1189" s="71" t="s">
        <v>508</v>
      </c>
      <c r="G1189" s="71" t="s">
        <v>1494</v>
      </c>
      <c r="H1189" s="71" t="s">
        <v>1379</v>
      </c>
      <c r="I1189" s="71" t="s">
        <v>1374</v>
      </c>
    </row>
    <row r="1190" spans="1:9" ht="43.5" x14ac:dyDescent="0.35">
      <c r="A1190" s="195">
        <v>7</v>
      </c>
      <c r="B1190" s="195">
        <v>240</v>
      </c>
      <c r="C1190" s="195" t="s">
        <v>1627</v>
      </c>
      <c r="D1190" s="64">
        <v>6225</v>
      </c>
      <c r="E1190" s="195" t="s">
        <v>373</v>
      </c>
      <c r="F1190" s="71" t="s">
        <v>508</v>
      </c>
      <c r="G1190" s="71" t="s">
        <v>1494</v>
      </c>
      <c r="H1190" s="71" t="s">
        <v>1379</v>
      </c>
      <c r="I1190" s="71" t="s">
        <v>1381</v>
      </c>
    </row>
    <row r="1191" spans="1:9" ht="43.5" x14ac:dyDescent="0.35">
      <c r="A1191" s="195">
        <v>7</v>
      </c>
      <c r="B1191" s="195">
        <v>241</v>
      </c>
      <c r="C1191" s="195" t="s">
        <v>1628</v>
      </c>
      <c r="D1191" s="195">
        <v>495</v>
      </c>
      <c r="E1191" s="195" t="s">
        <v>373</v>
      </c>
      <c r="F1191" s="71" t="s">
        <v>508</v>
      </c>
      <c r="G1191" s="71" t="s">
        <v>1494</v>
      </c>
      <c r="H1191" s="71" t="s">
        <v>1379</v>
      </c>
      <c r="I1191" s="71" t="s">
        <v>1383</v>
      </c>
    </row>
    <row r="1192" spans="1:9" ht="43.5" x14ac:dyDescent="0.35">
      <c r="A1192" s="195">
        <v>7</v>
      </c>
      <c r="B1192" s="195">
        <v>242</v>
      </c>
      <c r="C1192" s="195" t="s">
        <v>1629</v>
      </c>
      <c r="D1192" s="195">
        <v>65</v>
      </c>
      <c r="E1192" s="195" t="s">
        <v>373</v>
      </c>
      <c r="F1192" s="71" t="s">
        <v>508</v>
      </c>
      <c r="G1192" s="71" t="s">
        <v>1494</v>
      </c>
      <c r="H1192" s="71" t="s">
        <v>1379</v>
      </c>
      <c r="I1192" s="71" t="s">
        <v>1385</v>
      </c>
    </row>
    <row r="1193" spans="1:9" ht="43.5" x14ac:dyDescent="0.35">
      <c r="A1193" s="195">
        <v>7</v>
      </c>
      <c r="B1193" s="195">
        <v>243</v>
      </c>
      <c r="C1193" s="195" t="s">
        <v>1630</v>
      </c>
      <c r="D1193" s="195">
        <v>0</v>
      </c>
      <c r="E1193" s="195" t="s">
        <v>373</v>
      </c>
      <c r="F1193" s="71" t="s">
        <v>508</v>
      </c>
      <c r="G1193" s="71" t="s">
        <v>1494</v>
      </c>
      <c r="H1193" s="71" t="s">
        <v>1379</v>
      </c>
      <c r="I1193" s="71" t="s">
        <v>1387</v>
      </c>
    </row>
    <row r="1194" spans="1:9" ht="58" x14ac:dyDescent="0.35">
      <c r="A1194" s="195">
        <v>7</v>
      </c>
      <c r="B1194" s="195">
        <v>244</v>
      </c>
      <c r="C1194" s="195" t="s">
        <v>1631</v>
      </c>
      <c r="D1194" s="64">
        <v>79345</v>
      </c>
      <c r="E1194" s="195" t="s">
        <v>366</v>
      </c>
      <c r="F1194" s="71" t="s">
        <v>508</v>
      </c>
      <c r="G1194" s="71" t="s">
        <v>1494</v>
      </c>
      <c r="H1194" s="71" t="s">
        <v>1389</v>
      </c>
      <c r="I1194" s="71" t="s">
        <v>1374</v>
      </c>
    </row>
    <row r="1195" spans="1:9" ht="58" x14ac:dyDescent="0.35">
      <c r="A1195" s="195">
        <v>7</v>
      </c>
      <c r="B1195" s="195">
        <v>245</v>
      </c>
      <c r="C1195" s="195" t="s">
        <v>1632</v>
      </c>
      <c r="D1195" s="64">
        <v>76710</v>
      </c>
      <c r="E1195" s="195" t="s">
        <v>373</v>
      </c>
      <c r="F1195" s="71" t="s">
        <v>508</v>
      </c>
      <c r="G1195" s="71" t="s">
        <v>1494</v>
      </c>
      <c r="H1195" s="71" t="s">
        <v>1389</v>
      </c>
      <c r="I1195" s="71" t="s">
        <v>1381</v>
      </c>
    </row>
    <row r="1196" spans="1:9" ht="58" x14ac:dyDescent="0.35">
      <c r="A1196" s="195">
        <v>7</v>
      </c>
      <c r="B1196" s="195">
        <v>246</v>
      </c>
      <c r="C1196" s="195" t="s">
        <v>1633</v>
      </c>
      <c r="D1196" s="64">
        <v>2595</v>
      </c>
      <c r="E1196" s="195" t="s">
        <v>373</v>
      </c>
      <c r="F1196" s="71" t="s">
        <v>508</v>
      </c>
      <c r="G1196" s="71" t="s">
        <v>1494</v>
      </c>
      <c r="H1196" s="71" t="s">
        <v>1389</v>
      </c>
      <c r="I1196" s="71" t="s">
        <v>1383</v>
      </c>
    </row>
    <row r="1197" spans="1:9" ht="58" x14ac:dyDescent="0.35">
      <c r="A1197" s="195">
        <v>7</v>
      </c>
      <c r="B1197" s="195">
        <v>247</v>
      </c>
      <c r="C1197" s="195" t="s">
        <v>1634</v>
      </c>
      <c r="D1197" s="195">
        <v>40</v>
      </c>
      <c r="E1197" s="195" t="s">
        <v>373</v>
      </c>
      <c r="F1197" s="71" t="s">
        <v>508</v>
      </c>
      <c r="G1197" s="71" t="s">
        <v>1494</v>
      </c>
      <c r="H1197" s="71" t="s">
        <v>1389</v>
      </c>
      <c r="I1197" s="71" t="s">
        <v>1385</v>
      </c>
    </row>
    <row r="1198" spans="1:9" ht="58" x14ac:dyDescent="0.35">
      <c r="A1198" s="195">
        <v>7</v>
      </c>
      <c r="B1198" s="195">
        <v>248</v>
      </c>
      <c r="C1198" s="195" t="s">
        <v>1635</v>
      </c>
      <c r="D1198" s="195">
        <v>0</v>
      </c>
      <c r="E1198" s="195" t="s">
        <v>373</v>
      </c>
      <c r="F1198" s="71" t="s">
        <v>508</v>
      </c>
      <c r="G1198" s="71" t="s">
        <v>1494</v>
      </c>
      <c r="H1198" s="71" t="s">
        <v>1389</v>
      </c>
      <c r="I1198" s="71" t="s">
        <v>1387</v>
      </c>
    </row>
    <row r="1199" spans="1:9" ht="43.5" x14ac:dyDescent="0.35">
      <c r="A1199" s="195">
        <v>7</v>
      </c>
      <c r="B1199" s="195">
        <v>249</v>
      </c>
      <c r="C1199" s="195" t="s">
        <v>1636</v>
      </c>
      <c r="D1199" s="64">
        <v>7755</v>
      </c>
      <c r="E1199" s="195" t="s">
        <v>366</v>
      </c>
      <c r="F1199" s="71" t="s">
        <v>508</v>
      </c>
      <c r="G1199" s="71" t="s">
        <v>1494</v>
      </c>
      <c r="H1199" s="71" t="s">
        <v>1395</v>
      </c>
      <c r="I1199" s="71" t="s">
        <v>1374</v>
      </c>
    </row>
    <row r="1200" spans="1:9" ht="43.5" x14ac:dyDescent="0.35">
      <c r="A1200" s="195">
        <v>7</v>
      </c>
      <c r="B1200" s="195">
        <v>250</v>
      </c>
      <c r="C1200" s="195" t="s">
        <v>1637</v>
      </c>
      <c r="D1200" s="64">
        <v>7635</v>
      </c>
      <c r="E1200" s="195" t="s">
        <v>373</v>
      </c>
      <c r="F1200" s="71" t="s">
        <v>508</v>
      </c>
      <c r="G1200" s="71" t="s">
        <v>1494</v>
      </c>
      <c r="H1200" s="71" t="s">
        <v>1395</v>
      </c>
      <c r="I1200" s="71" t="s">
        <v>1381</v>
      </c>
    </row>
    <row r="1201" spans="1:9" ht="43.5" x14ac:dyDescent="0.35">
      <c r="A1201" s="195">
        <v>7</v>
      </c>
      <c r="B1201" s="195">
        <v>251</v>
      </c>
      <c r="C1201" s="195" t="s">
        <v>1638</v>
      </c>
      <c r="D1201" s="195">
        <v>115</v>
      </c>
      <c r="E1201" s="195" t="s">
        <v>373</v>
      </c>
      <c r="F1201" s="71" t="s">
        <v>508</v>
      </c>
      <c r="G1201" s="71" t="s">
        <v>1494</v>
      </c>
      <c r="H1201" s="71" t="s">
        <v>1395</v>
      </c>
      <c r="I1201" s="71" t="s">
        <v>1383</v>
      </c>
    </row>
    <row r="1202" spans="1:9" ht="43.5" x14ac:dyDescent="0.35">
      <c r="A1202" s="195">
        <v>7</v>
      </c>
      <c r="B1202" s="195">
        <v>252</v>
      </c>
      <c r="C1202" s="195" t="s">
        <v>1639</v>
      </c>
      <c r="D1202" s="195">
        <v>4</v>
      </c>
      <c r="E1202" s="195" t="s">
        <v>373</v>
      </c>
      <c r="F1202" s="71" t="s">
        <v>508</v>
      </c>
      <c r="G1202" s="71" t="s">
        <v>1494</v>
      </c>
      <c r="H1202" s="71" t="s">
        <v>1395</v>
      </c>
      <c r="I1202" s="71" t="s">
        <v>1385</v>
      </c>
    </row>
    <row r="1203" spans="1:9" ht="43.5" x14ac:dyDescent="0.35">
      <c r="A1203" s="195">
        <v>7</v>
      </c>
      <c r="B1203" s="195">
        <v>253</v>
      </c>
      <c r="C1203" s="195" t="s">
        <v>1640</v>
      </c>
      <c r="D1203" s="195">
        <v>0</v>
      </c>
      <c r="E1203" s="195" t="s">
        <v>373</v>
      </c>
      <c r="F1203" s="71" t="s">
        <v>508</v>
      </c>
      <c r="G1203" s="71" t="s">
        <v>1494</v>
      </c>
      <c r="H1203" s="71" t="s">
        <v>1395</v>
      </c>
      <c r="I1203" s="71" t="s">
        <v>1387</v>
      </c>
    </row>
    <row r="1204" spans="1:9" ht="43.5" x14ac:dyDescent="0.35">
      <c r="A1204" s="195">
        <v>7</v>
      </c>
      <c r="B1204" s="195">
        <v>254</v>
      </c>
      <c r="C1204" s="195" t="s">
        <v>1641</v>
      </c>
      <c r="D1204" s="64">
        <v>8120</v>
      </c>
      <c r="E1204" s="195" t="s">
        <v>366</v>
      </c>
      <c r="F1204" s="71" t="s">
        <v>508</v>
      </c>
      <c r="G1204" s="71" t="s">
        <v>1494</v>
      </c>
      <c r="H1204" s="71" t="s">
        <v>1401</v>
      </c>
      <c r="I1204" s="71" t="s">
        <v>1374</v>
      </c>
    </row>
    <row r="1205" spans="1:9" ht="43.5" x14ac:dyDescent="0.35">
      <c r="A1205" s="195">
        <v>7</v>
      </c>
      <c r="B1205" s="195">
        <v>255</v>
      </c>
      <c r="C1205" s="195" t="s">
        <v>1642</v>
      </c>
      <c r="D1205" s="64">
        <v>7015</v>
      </c>
      <c r="E1205" s="195" t="s">
        <v>373</v>
      </c>
      <c r="F1205" s="71" t="s">
        <v>508</v>
      </c>
      <c r="G1205" s="71" t="s">
        <v>1494</v>
      </c>
      <c r="H1205" s="71" t="s">
        <v>1401</v>
      </c>
      <c r="I1205" s="71" t="s">
        <v>1381</v>
      </c>
    </row>
    <row r="1206" spans="1:9" ht="43.5" x14ac:dyDescent="0.35">
      <c r="A1206" s="195">
        <v>7</v>
      </c>
      <c r="B1206" s="195">
        <v>256</v>
      </c>
      <c r="C1206" s="195" t="s">
        <v>1643</v>
      </c>
      <c r="D1206" s="195">
        <v>840</v>
      </c>
      <c r="E1206" s="195" t="s">
        <v>373</v>
      </c>
      <c r="F1206" s="71" t="s">
        <v>508</v>
      </c>
      <c r="G1206" s="71" t="s">
        <v>1494</v>
      </c>
      <c r="H1206" s="71" t="s">
        <v>1401</v>
      </c>
      <c r="I1206" s="71" t="s">
        <v>1383</v>
      </c>
    </row>
    <row r="1207" spans="1:9" ht="43.5" x14ac:dyDescent="0.35">
      <c r="A1207" s="195">
        <v>7</v>
      </c>
      <c r="B1207" s="195">
        <v>257</v>
      </c>
      <c r="C1207" s="195" t="s">
        <v>1644</v>
      </c>
      <c r="D1207" s="195">
        <v>265</v>
      </c>
      <c r="E1207" s="195" t="s">
        <v>373</v>
      </c>
      <c r="F1207" s="71" t="s">
        <v>508</v>
      </c>
      <c r="G1207" s="71" t="s">
        <v>1494</v>
      </c>
      <c r="H1207" s="71" t="s">
        <v>1401</v>
      </c>
      <c r="I1207" s="71" t="s">
        <v>1385</v>
      </c>
    </row>
    <row r="1208" spans="1:9" ht="43.5" x14ac:dyDescent="0.35">
      <c r="A1208" s="195">
        <v>7</v>
      </c>
      <c r="B1208" s="195">
        <v>258</v>
      </c>
      <c r="C1208" s="195" t="s">
        <v>1645</v>
      </c>
      <c r="D1208" s="195">
        <v>0</v>
      </c>
      <c r="E1208" s="195" t="s">
        <v>373</v>
      </c>
      <c r="F1208" s="71" t="s">
        <v>508</v>
      </c>
      <c r="G1208" s="71" t="s">
        <v>1494</v>
      </c>
      <c r="H1208" s="71" t="s">
        <v>1401</v>
      </c>
      <c r="I1208" s="71" t="s">
        <v>1387</v>
      </c>
    </row>
    <row r="1209" spans="1:9" ht="43.5" x14ac:dyDescent="0.35">
      <c r="A1209" s="195">
        <v>7</v>
      </c>
      <c r="B1209" s="195">
        <v>259</v>
      </c>
      <c r="C1209" s="195" t="s">
        <v>1646</v>
      </c>
      <c r="D1209" s="64">
        <v>106920</v>
      </c>
      <c r="E1209" s="195" t="s">
        <v>366</v>
      </c>
      <c r="F1209" s="71" t="s">
        <v>508</v>
      </c>
      <c r="G1209" s="71" t="s">
        <v>1494</v>
      </c>
      <c r="H1209" s="71" t="s">
        <v>1407</v>
      </c>
      <c r="I1209" s="71" t="s">
        <v>1647</v>
      </c>
    </row>
    <row r="1210" spans="1:9" ht="43.5" x14ac:dyDescent="0.35">
      <c r="A1210" s="195">
        <v>7</v>
      </c>
      <c r="B1210" s="195">
        <v>260</v>
      </c>
      <c r="C1210" s="195" t="s">
        <v>1648</v>
      </c>
      <c r="D1210" s="64">
        <v>101190</v>
      </c>
      <c r="E1210" s="195" t="s">
        <v>373</v>
      </c>
      <c r="F1210" s="71" t="s">
        <v>508</v>
      </c>
      <c r="G1210" s="71" t="s">
        <v>1494</v>
      </c>
      <c r="H1210" s="71" t="s">
        <v>1407</v>
      </c>
      <c r="I1210" s="71" t="s">
        <v>1381</v>
      </c>
    </row>
    <row r="1211" spans="1:9" ht="43.5" x14ac:dyDescent="0.35">
      <c r="A1211" s="195">
        <v>7</v>
      </c>
      <c r="B1211" s="195">
        <v>261</v>
      </c>
      <c r="C1211" s="195" t="s">
        <v>1649</v>
      </c>
      <c r="D1211" s="64">
        <v>5545</v>
      </c>
      <c r="E1211" s="195" t="s">
        <v>373</v>
      </c>
      <c r="F1211" s="71" t="s">
        <v>508</v>
      </c>
      <c r="G1211" s="71" t="s">
        <v>1494</v>
      </c>
      <c r="H1211" s="71" t="s">
        <v>1407</v>
      </c>
      <c r="I1211" s="71" t="s">
        <v>1383</v>
      </c>
    </row>
    <row r="1212" spans="1:9" ht="43.5" x14ac:dyDescent="0.35">
      <c r="A1212" s="195">
        <v>7</v>
      </c>
      <c r="B1212" s="195">
        <v>262</v>
      </c>
      <c r="C1212" s="195" t="s">
        <v>1650</v>
      </c>
      <c r="D1212" s="195">
        <v>185</v>
      </c>
      <c r="E1212" s="195" t="s">
        <v>373</v>
      </c>
      <c r="F1212" s="71" t="s">
        <v>508</v>
      </c>
      <c r="G1212" s="71" t="s">
        <v>1494</v>
      </c>
      <c r="H1212" s="71" t="s">
        <v>1407</v>
      </c>
      <c r="I1212" s="71" t="s">
        <v>1385</v>
      </c>
    </row>
    <row r="1213" spans="1:9" ht="43.5" x14ac:dyDescent="0.35">
      <c r="A1213" s="195">
        <v>7</v>
      </c>
      <c r="B1213" s="195">
        <v>263</v>
      </c>
      <c r="C1213" s="195" t="s">
        <v>1651</v>
      </c>
      <c r="D1213" s="195">
        <v>0</v>
      </c>
      <c r="E1213" s="195" t="s">
        <v>373</v>
      </c>
      <c r="F1213" s="71" t="s">
        <v>508</v>
      </c>
      <c r="G1213" s="71" t="s">
        <v>1494</v>
      </c>
      <c r="H1213" s="71" t="s">
        <v>1407</v>
      </c>
      <c r="I1213" s="71" t="s">
        <v>1387</v>
      </c>
    </row>
    <row r="1214" spans="1:9" ht="29" x14ac:dyDescent="0.35">
      <c r="A1214" s="195">
        <v>8</v>
      </c>
      <c r="B1214" s="195">
        <v>1</v>
      </c>
      <c r="C1214" s="195" t="s">
        <v>1652</v>
      </c>
      <c r="D1214" s="64">
        <v>1951605</v>
      </c>
      <c r="E1214" s="195" t="s">
        <v>26</v>
      </c>
      <c r="F1214" s="71" t="s">
        <v>361</v>
      </c>
      <c r="G1214" s="71" t="s">
        <v>363</v>
      </c>
      <c r="H1214" s="71" t="s">
        <v>1374</v>
      </c>
      <c r="I1214" s="71" t="s">
        <v>1653</v>
      </c>
    </row>
    <row r="1215" spans="1:9" x14ac:dyDescent="0.35">
      <c r="A1215" s="195">
        <v>8</v>
      </c>
      <c r="B1215" s="195">
        <v>2</v>
      </c>
      <c r="C1215" s="195" t="s">
        <v>1654</v>
      </c>
      <c r="D1215" s="64">
        <v>1105170</v>
      </c>
      <c r="E1215" s="195" t="s">
        <v>366</v>
      </c>
      <c r="F1215" s="71" t="s">
        <v>367</v>
      </c>
      <c r="G1215" s="71" t="s">
        <v>363</v>
      </c>
      <c r="H1215" s="71" t="s">
        <v>1374</v>
      </c>
      <c r="I1215" s="71" t="s">
        <v>1653</v>
      </c>
    </row>
    <row r="1216" spans="1:9" ht="29" x14ac:dyDescent="0.35">
      <c r="A1216" s="195">
        <v>8</v>
      </c>
      <c r="B1216" s="195">
        <v>3</v>
      </c>
      <c r="C1216" s="195" t="s">
        <v>1655</v>
      </c>
      <c r="D1216" s="64">
        <v>103685</v>
      </c>
      <c r="E1216" s="195" t="s">
        <v>366</v>
      </c>
      <c r="F1216" s="71" t="s">
        <v>367</v>
      </c>
      <c r="G1216" s="71" t="s">
        <v>371</v>
      </c>
      <c r="H1216" s="71" t="s">
        <v>1374</v>
      </c>
      <c r="I1216" s="71" t="s">
        <v>1653</v>
      </c>
    </row>
    <row r="1217" spans="1:9" ht="29" x14ac:dyDescent="0.35">
      <c r="A1217" s="195">
        <v>8</v>
      </c>
      <c r="B1217" s="195">
        <v>4</v>
      </c>
      <c r="C1217" s="195" t="s">
        <v>1656</v>
      </c>
      <c r="D1217" s="64">
        <v>9005</v>
      </c>
      <c r="E1217" s="195" t="s">
        <v>366</v>
      </c>
      <c r="F1217" s="71" t="s">
        <v>367</v>
      </c>
      <c r="G1217" s="71" t="s">
        <v>371</v>
      </c>
      <c r="H1217" s="71" t="s">
        <v>1657</v>
      </c>
      <c r="I1217" s="71" t="s">
        <v>1653</v>
      </c>
    </row>
    <row r="1218" spans="1:9" ht="43.5" x14ac:dyDescent="0.35">
      <c r="A1218" s="195">
        <v>8</v>
      </c>
      <c r="B1218" s="195">
        <v>5</v>
      </c>
      <c r="C1218" s="195" t="s">
        <v>1658</v>
      </c>
      <c r="D1218" s="195">
        <v>105</v>
      </c>
      <c r="E1218" s="195" t="s">
        <v>373</v>
      </c>
      <c r="F1218" s="71" t="s">
        <v>367</v>
      </c>
      <c r="G1218" s="71" t="s">
        <v>371</v>
      </c>
      <c r="H1218" s="71" t="s">
        <v>1657</v>
      </c>
      <c r="I1218" s="71" t="s">
        <v>1659</v>
      </c>
    </row>
    <row r="1219" spans="1:9" ht="43.5" x14ac:dyDescent="0.35">
      <c r="A1219" s="195">
        <v>8</v>
      </c>
      <c r="B1219" s="195">
        <v>6</v>
      </c>
      <c r="C1219" s="195" t="s">
        <v>1660</v>
      </c>
      <c r="D1219" s="64">
        <v>8900</v>
      </c>
      <c r="E1219" s="195" t="s">
        <v>373</v>
      </c>
      <c r="F1219" s="71" t="s">
        <v>367</v>
      </c>
      <c r="G1219" s="71" t="s">
        <v>371</v>
      </c>
      <c r="H1219" s="71" t="s">
        <v>1657</v>
      </c>
      <c r="I1219" s="71" t="s">
        <v>1661</v>
      </c>
    </row>
    <row r="1220" spans="1:9" ht="29" x14ac:dyDescent="0.35">
      <c r="A1220" s="195">
        <v>8</v>
      </c>
      <c r="B1220" s="195">
        <v>7</v>
      </c>
      <c r="C1220" s="195" t="s">
        <v>1662</v>
      </c>
      <c r="D1220" s="64">
        <v>14515</v>
      </c>
      <c r="E1220" s="195" t="s">
        <v>366</v>
      </c>
      <c r="F1220" s="71" t="s">
        <v>367</v>
      </c>
      <c r="G1220" s="71" t="s">
        <v>371</v>
      </c>
      <c r="H1220" s="71" t="s">
        <v>1663</v>
      </c>
      <c r="I1220" s="71" t="s">
        <v>1653</v>
      </c>
    </row>
    <row r="1221" spans="1:9" ht="43.5" x14ac:dyDescent="0.35">
      <c r="A1221" s="195">
        <v>8</v>
      </c>
      <c r="B1221" s="195">
        <v>8</v>
      </c>
      <c r="C1221" s="195" t="s">
        <v>1664</v>
      </c>
      <c r="D1221" s="195">
        <v>95</v>
      </c>
      <c r="E1221" s="195" t="s">
        <v>373</v>
      </c>
      <c r="F1221" s="71" t="s">
        <v>367</v>
      </c>
      <c r="G1221" s="71" t="s">
        <v>371</v>
      </c>
      <c r="H1221" s="71" t="s">
        <v>1663</v>
      </c>
      <c r="I1221" s="71" t="s">
        <v>1659</v>
      </c>
    </row>
    <row r="1222" spans="1:9" ht="43.5" x14ac:dyDescent="0.35">
      <c r="A1222" s="195">
        <v>8</v>
      </c>
      <c r="B1222" s="195">
        <v>9</v>
      </c>
      <c r="C1222" s="195" t="s">
        <v>1665</v>
      </c>
      <c r="D1222" s="64">
        <v>14415</v>
      </c>
      <c r="E1222" s="195" t="s">
        <v>373</v>
      </c>
      <c r="F1222" s="71" t="s">
        <v>367</v>
      </c>
      <c r="G1222" s="71" t="s">
        <v>371</v>
      </c>
      <c r="H1222" s="71" t="s">
        <v>1663</v>
      </c>
      <c r="I1222" s="71" t="s">
        <v>1661</v>
      </c>
    </row>
    <row r="1223" spans="1:9" ht="29" x14ac:dyDescent="0.35">
      <c r="A1223" s="195">
        <v>8</v>
      </c>
      <c r="B1223" s="195">
        <v>10</v>
      </c>
      <c r="C1223" s="195" t="s">
        <v>1666</v>
      </c>
      <c r="D1223" s="64">
        <v>69850</v>
      </c>
      <c r="E1223" s="195" t="s">
        <v>366</v>
      </c>
      <c r="F1223" s="71" t="s">
        <v>367</v>
      </c>
      <c r="G1223" s="71" t="s">
        <v>371</v>
      </c>
      <c r="H1223" s="71" t="s">
        <v>1667</v>
      </c>
      <c r="I1223" s="71" t="s">
        <v>1653</v>
      </c>
    </row>
    <row r="1224" spans="1:9" ht="43.5" x14ac:dyDescent="0.35">
      <c r="A1224" s="195">
        <v>8</v>
      </c>
      <c r="B1224" s="195">
        <v>11</v>
      </c>
      <c r="C1224" s="195" t="s">
        <v>1668</v>
      </c>
      <c r="D1224" s="195">
        <v>605</v>
      </c>
      <c r="E1224" s="195" t="s">
        <v>373</v>
      </c>
      <c r="F1224" s="71" t="s">
        <v>367</v>
      </c>
      <c r="G1224" s="71" t="s">
        <v>371</v>
      </c>
      <c r="H1224" s="71" t="s">
        <v>1667</v>
      </c>
      <c r="I1224" s="71" t="s">
        <v>1659</v>
      </c>
    </row>
    <row r="1225" spans="1:9" ht="43.5" x14ac:dyDescent="0.35">
      <c r="A1225" s="195">
        <v>8</v>
      </c>
      <c r="B1225" s="195">
        <v>12</v>
      </c>
      <c r="C1225" s="195" t="s">
        <v>1669</v>
      </c>
      <c r="D1225" s="64">
        <v>69245</v>
      </c>
      <c r="E1225" s="195" t="s">
        <v>373</v>
      </c>
      <c r="F1225" s="71" t="s">
        <v>367</v>
      </c>
      <c r="G1225" s="71" t="s">
        <v>371</v>
      </c>
      <c r="H1225" s="71" t="s">
        <v>1667</v>
      </c>
      <c r="I1225" s="71" t="s">
        <v>1661</v>
      </c>
    </row>
    <row r="1226" spans="1:9" ht="29" x14ac:dyDescent="0.35">
      <c r="A1226" s="195">
        <v>8</v>
      </c>
      <c r="B1226" s="195">
        <v>13</v>
      </c>
      <c r="C1226" s="195" t="s">
        <v>1670</v>
      </c>
      <c r="D1226" s="64">
        <v>10315</v>
      </c>
      <c r="E1226" s="195" t="s">
        <v>366</v>
      </c>
      <c r="F1226" s="71" t="s">
        <v>367</v>
      </c>
      <c r="G1226" s="71" t="s">
        <v>371</v>
      </c>
      <c r="H1226" s="71" t="s">
        <v>1671</v>
      </c>
      <c r="I1226" s="71" t="s">
        <v>1653</v>
      </c>
    </row>
    <row r="1227" spans="1:9" ht="43.5" x14ac:dyDescent="0.35">
      <c r="A1227" s="195">
        <v>8</v>
      </c>
      <c r="B1227" s="195">
        <v>14</v>
      </c>
      <c r="C1227" s="195" t="s">
        <v>1672</v>
      </c>
      <c r="D1227" s="195">
        <v>145</v>
      </c>
      <c r="E1227" s="195" t="s">
        <v>373</v>
      </c>
      <c r="F1227" s="71" t="s">
        <v>367</v>
      </c>
      <c r="G1227" s="71" t="s">
        <v>371</v>
      </c>
      <c r="H1227" s="71" t="s">
        <v>1671</v>
      </c>
      <c r="I1227" s="71" t="s">
        <v>1659</v>
      </c>
    </row>
    <row r="1228" spans="1:9" ht="43.5" x14ac:dyDescent="0.35">
      <c r="A1228" s="195">
        <v>8</v>
      </c>
      <c r="B1228" s="195">
        <v>15</v>
      </c>
      <c r="C1228" s="195" t="s">
        <v>1673</v>
      </c>
      <c r="D1228" s="64">
        <v>10175</v>
      </c>
      <c r="E1228" s="195" t="s">
        <v>373</v>
      </c>
      <c r="F1228" s="71" t="s">
        <v>367</v>
      </c>
      <c r="G1228" s="71" t="s">
        <v>371</v>
      </c>
      <c r="H1228" s="71" t="s">
        <v>1671</v>
      </c>
      <c r="I1228" s="71" t="s">
        <v>1661</v>
      </c>
    </row>
    <row r="1229" spans="1:9" ht="43.5" x14ac:dyDescent="0.35">
      <c r="A1229" s="195">
        <v>8</v>
      </c>
      <c r="B1229" s="195">
        <v>16</v>
      </c>
      <c r="C1229" s="195" t="s">
        <v>1674</v>
      </c>
      <c r="D1229" s="64">
        <v>118025</v>
      </c>
      <c r="E1229" s="195" t="s">
        <v>366</v>
      </c>
      <c r="F1229" s="71" t="s">
        <v>367</v>
      </c>
      <c r="G1229" s="71" t="s">
        <v>388</v>
      </c>
      <c r="H1229" s="71" t="s">
        <v>1374</v>
      </c>
      <c r="I1229" s="71" t="s">
        <v>1653</v>
      </c>
    </row>
    <row r="1230" spans="1:9" ht="43.5" x14ac:dyDescent="0.35">
      <c r="A1230" s="195">
        <v>8</v>
      </c>
      <c r="B1230" s="195">
        <v>17</v>
      </c>
      <c r="C1230" s="195" t="s">
        <v>1675</v>
      </c>
      <c r="D1230" s="64">
        <v>37340</v>
      </c>
      <c r="E1230" s="195" t="s">
        <v>366</v>
      </c>
      <c r="F1230" s="71" t="s">
        <v>367</v>
      </c>
      <c r="G1230" s="71" t="s">
        <v>388</v>
      </c>
      <c r="H1230" s="71" t="s">
        <v>1657</v>
      </c>
      <c r="I1230" s="71" t="s">
        <v>1653</v>
      </c>
    </row>
    <row r="1231" spans="1:9" ht="43.5" x14ac:dyDescent="0.35">
      <c r="A1231" s="195">
        <v>8</v>
      </c>
      <c r="B1231" s="195">
        <v>18</v>
      </c>
      <c r="C1231" s="195" t="s">
        <v>1676</v>
      </c>
      <c r="D1231" s="195">
        <v>185</v>
      </c>
      <c r="E1231" s="195" t="s">
        <v>373</v>
      </c>
      <c r="F1231" s="71" t="s">
        <v>367</v>
      </c>
      <c r="G1231" s="71" t="s">
        <v>388</v>
      </c>
      <c r="H1231" s="71" t="s">
        <v>1657</v>
      </c>
      <c r="I1231" s="71" t="s">
        <v>1659</v>
      </c>
    </row>
    <row r="1232" spans="1:9" ht="43.5" x14ac:dyDescent="0.35">
      <c r="A1232" s="195">
        <v>8</v>
      </c>
      <c r="B1232" s="195">
        <v>19</v>
      </c>
      <c r="C1232" s="195" t="s">
        <v>1677</v>
      </c>
      <c r="D1232" s="64">
        <v>37155</v>
      </c>
      <c r="E1232" s="195" t="s">
        <v>373</v>
      </c>
      <c r="F1232" s="71" t="s">
        <v>367</v>
      </c>
      <c r="G1232" s="71" t="s">
        <v>388</v>
      </c>
      <c r="H1232" s="71" t="s">
        <v>1657</v>
      </c>
      <c r="I1232" s="71" t="s">
        <v>1661</v>
      </c>
    </row>
    <row r="1233" spans="1:9" ht="43.5" x14ac:dyDescent="0.35">
      <c r="A1233" s="195">
        <v>8</v>
      </c>
      <c r="B1233" s="195">
        <v>20</v>
      </c>
      <c r="C1233" s="195" t="s">
        <v>1678</v>
      </c>
      <c r="D1233" s="64">
        <v>36695</v>
      </c>
      <c r="E1233" s="195" t="s">
        <v>366</v>
      </c>
      <c r="F1233" s="71" t="s">
        <v>367</v>
      </c>
      <c r="G1233" s="71" t="s">
        <v>388</v>
      </c>
      <c r="H1233" s="71" t="s">
        <v>1663</v>
      </c>
      <c r="I1233" s="71" t="s">
        <v>1653</v>
      </c>
    </row>
    <row r="1234" spans="1:9" ht="43.5" x14ac:dyDescent="0.35">
      <c r="A1234" s="195">
        <v>8</v>
      </c>
      <c r="B1234" s="195">
        <v>21</v>
      </c>
      <c r="C1234" s="195" t="s">
        <v>1679</v>
      </c>
      <c r="D1234" s="195">
        <v>150</v>
      </c>
      <c r="E1234" s="195" t="s">
        <v>373</v>
      </c>
      <c r="F1234" s="71" t="s">
        <v>367</v>
      </c>
      <c r="G1234" s="71" t="s">
        <v>388</v>
      </c>
      <c r="H1234" s="71" t="s">
        <v>1663</v>
      </c>
      <c r="I1234" s="71" t="s">
        <v>1659</v>
      </c>
    </row>
    <row r="1235" spans="1:9" ht="43.5" x14ac:dyDescent="0.35">
      <c r="A1235" s="195">
        <v>8</v>
      </c>
      <c r="B1235" s="195">
        <v>22</v>
      </c>
      <c r="C1235" s="195" t="s">
        <v>1680</v>
      </c>
      <c r="D1235" s="64">
        <v>36545</v>
      </c>
      <c r="E1235" s="195" t="s">
        <v>373</v>
      </c>
      <c r="F1235" s="71" t="s">
        <v>367</v>
      </c>
      <c r="G1235" s="71" t="s">
        <v>388</v>
      </c>
      <c r="H1235" s="71" t="s">
        <v>1663</v>
      </c>
      <c r="I1235" s="71" t="s">
        <v>1661</v>
      </c>
    </row>
    <row r="1236" spans="1:9" ht="43.5" x14ac:dyDescent="0.35">
      <c r="A1236" s="195">
        <v>8</v>
      </c>
      <c r="B1236" s="195">
        <v>23</v>
      </c>
      <c r="C1236" s="195" t="s">
        <v>1681</v>
      </c>
      <c r="D1236" s="64">
        <v>43985</v>
      </c>
      <c r="E1236" s="195" t="s">
        <v>366</v>
      </c>
      <c r="F1236" s="71" t="s">
        <v>367</v>
      </c>
      <c r="G1236" s="71" t="s">
        <v>388</v>
      </c>
      <c r="H1236" s="71" t="s">
        <v>1667</v>
      </c>
      <c r="I1236" s="71" t="s">
        <v>1653</v>
      </c>
    </row>
    <row r="1237" spans="1:9" ht="43.5" x14ac:dyDescent="0.35">
      <c r="A1237" s="195">
        <v>8</v>
      </c>
      <c r="B1237" s="195">
        <v>24</v>
      </c>
      <c r="C1237" s="195" t="s">
        <v>1682</v>
      </c>
      <c r="D1237" s="195">
        <v>215</v>
      </c>
      <c r="E1237" s="195" t="s">
        <v>373</v>
      </c>
      <c r="F1237" s="71" t="s">
        <v>367</v>
      </c>
      <c r="G1237" s="71" t="s">
        <v>388</v>
      </c>
      <c r="H1237" s="71" t="s">
        <v>1667</v>
      </c>
      <c r="I1237" s="71" t="s">
        <v>1659</v>
      </c>
    </row>
    <row r="1238" spans="1:9" ht="43.5" x14ac:dyDescent="0.35">
      <c r="A1238" s="195">
        <v>8</v>
      </c>
      <c r="B1238" s="195">
        <v>25</v>
      </c>
      <c r="C1238" s="195" t="s">
        <v>1683</v>
      </c>
      <c r="D1238" s="64">
        <v>43770</v>
      </c>
      <c r="E1238" s="195" t="s">
        <v>373</v>
      </c>
      <c r="F1238" s="71" t="s">
        <v>367</v>
      </c>
      <c r="G1238" s="71" t="s">
        <v>388</v>
      </c>
      <c r="H1238" s="71" t="s">
        <v>1667</v>
      </c>
      <c r="I1238" s="71" t="s">
        <v>1661</v>
      </c>
    </row>
    <row r="1239" spans="1:9" ht="43.5" x14ac:dyDescent="0.35">
      <c r="A1239" s="195">
        <v>8</v>
      </c>
      <c r="B1239" s="195">
        <v>26</v>
      </c>
      <c r="C1239" s="195" t="s">
        <v>1684</v>
      </c>
      <c r="D1239" s="195">
        <v>0</v>
      </c>
      <c r="E1239" s="195" t="s">
        <v>366</v>
      </c>
      <c r="F1239" s="71" t="s">
        <v>367</v>
      </c>
      <c r="G1239" s="71" t="s">
        <v>388</v>
      </c>
      <c r="H1239" s="71" t="s">
        <v>1671</v>
      </c>
      <c r="I1239" s="71" t="s">
        <v>1653</v>
      </c>
    </row>
    <row r="1240" spans="1:9" ht="43.5" x14ac:dyDescent="0.35">
      <c r="A1240" s="195">
        <v>8</v>
      </c>
      <c r="B1240" s="195">
        <v>27</v>
      </c>
      <c r="C1240" s="195" t="s">
        <v>1685</v>
      </c>
      <c r="D1240" s="195">
        <v>0</v>
      </c>
      <c r="E1240" s="195" t="s">
        <v>373</v>
      </c>
      <c r="F1240" s="71" t="s">
        <v>367</v>
      </c>
      <c r="G1240" s="71" t="s">
        <v>388</v>
      </c>
      <c r="H1240" s="71" t="s">
        <v>1671</v>
      </c>
      <c r="I1240" s="71" t="s">
        <v>1659</v>
      </c>
    </row>
    <row r="1241" spans="1:9" ht="43.5" x14ac:dyDescent="0.35">
      <c r="A1241" s="195">
        <v>8</v>
      </c>
      <c r="B1241" s="195">
        <v>28</v>
      </c>
      <c r="C1241" s="195" t="s">
        <v>1686</v>
      </c>
      <c r="D1241" s="195">
        <v>0</v>
      </c>
      <c r="E1241" s="195" t="s">
        <v>373</v>
      </c>
      <c r="F1241" s="71" t="s">
        <v>367</v>
      </c>
      <c r="G1241" s="71" t="s">
        <v>388</v>
      </c>
      <c r="H1241" s="71" t="s">
        <v>1671</v>
      </c>
      <c r="I1241" s="71" t="s">
        <v>1661</v>
      </c>
    </row>
    <row r="1242" spans="1:9" ht="43.5" x14ac:dyDescent="0.35">
      <c r="A1242" s="195">
        <v>8</v>
      </c>
      <c r="B1242" s="195">
        <v>29</v>
      </c>
      <c r="C1242" s="195" t="s">
        <v>1687</v>
      </c>
      <c r="D1242" s="64">
        <v>174115</v>
      </c>
      <c r="E1242" s="195" t="s">
        <v>366</v>
      </c>
      <c r="F1242" s="71" t="s">
        <v>367</v>
      </c>
      <c r="G1242" s="71" t="s">
        <v>397</v>
      </c>
      <c r="H1242" s="71" t="s">
        <v>1374</v>
      </c>
      <c r="I1242" s="71" t="s">
        <v>1653</v>
      </c>
    </row>
    <row r="1243" spans="1:9" ht="43.5" x14ac:dyDescent="0.35">
      <c r="A1243" s="195">
        <v>8</v>
      </c>
      <c r="B1243" s="195">
        <v>30</v>
      </c>
      <c r="C1243" s="195" t="s">
        <v>1688</v>
      </c>
      <c r="D1243" s="64">
        <v>88805</v>
      </c>
      <c r="E1243" s="195" t="s">
        <v>366</v>
      </c>
      <c r="F1243" s="71" t="s">
        <v>367</v>
      </c>
      <c r="G1243" s="71" t="s">
        <v>397</v>
      </c>
      <c r="H1243" s="71" t="s">
        <v>1657</v>
      </c>
      <c r="I1243" s="71" t="s">
        <v>1653</v>
      </c>
    </row>
    <row r="1244" spans="1:9" ht="43.5" x14ac:dyDescent="0.35">
      <c r="A1244" s="195">
        <v>8</v>
      </c>
      <c r="B1244" s="195">
        <v>31</v>
      </c>
      <c r="C1244" s="195" t="s">
        <v>1689</v>
      </c>
      <c r="D1244" s="195">
        <v>325</v>
      </c>
      <c r="E1244" s="195" t="s">
        <v>373</v>
      </c>
      <c r="F1244" s="71" t="s">
        <v>367</v>
      </c>
      <c r="G1244" s="71" t="s">
        <v>397</v>
      </c>
      <c r="H1244" s="71" t="s">
        <v>1657</v>
      </c>
      <c r="I1244" s="71" t="s">
        <v>1659</v>
      </c>
    </row>
    <row r="1245" spans="1:9" ht="43.5" x14ac:dyDescent="0.35">
      <c r="A1245" s="195">
        <v>8</v>
      </c>
      <c r="B1245" s="195">
        <v>32</v>
      </c>
      <c r="C1245" s="195" t="s">
        <v>1690</v>
      </c>
      <c r="D1245" s="64">
        <v>88480</v>
      </c>
      <c r="E1245" s="195" t="s">
        <v>373</v>
      </c>
      <c r="F1245" s="71" t="s">
        <v>367</v>
      </c>
      <c r="G1245" s="71" t="s">
        <v>397</v>
      </c>
      <c r="H1245" s="71" t="s">
        <v>1657</v>
      </c>
      <c r="I1245" s="71" t="s">
        <v>1661</v>
      </c>
    </row>
    <row r="1246" spans="1:9" ht="43.5" x14ac:dyDescent="0.35">
      <c r="A1246" s="195">
        <v>8</v>
      </c>
      <c r="B1246" s="195">
        <v>33</v>
      </c>
      <c r="C1246" s="195" t="s">
        <v>1691</v>
      </c>
      <c r="D1246" s="64">
        <v>57980</v>
      </c>
      <c r="E1246" s="195" t="s">
        <v>366</v>
      </c>
      <c r="F1246" s="71" t="s">
        <v>367</v>
      </c>
      <c r="G1246" s="71" t="s">
        <v>397</v>
      </c>
      <c r="H1246" s="71" t="s">
        <v>1663</v>
      </c>
      <c r="I1246" s="71" t="s">
        <v>1653</v>
      </c>
    </row>
    <row r="1247" spans="1:9" ht="43.5" x14ac:dyDescent="0.35">
      <c r="A1247" s="195">
        <v>8</v>
      </c>
      <c r="B1247" s="195">
        <v>34</v>
      </c>
      <c r="C1247" s="195" t="s">
        <v>1692</v>
      </c>
      <c r="D1247" s="195">
        <v>170</v>
      </c>
      <c r="E1247" s="195" t="s">
        <v>373</v>
      </c>
      <c r="F1247" s="71" t="s">
        <v>367</v>
      </c>
      <c r="G1247" s="71" t="s">
        <v>397</v>
      </c>
      <c r="H1247" s="71" t="s">
        <v>1663</v>
      </c>
      <c r="I1247" s="71" t="s">
        <v>1659</v>
      </c>
    </row>
    <row r="1248" spans="1:9" ht="43.5" x14ac:dyDescent="0.35">
      <c r="A1248" s="195">
        <v>8</v>
      </c>
      <c r="B1248" s="195">
        <v>35</v>
      </c>
      <c r="C1248" s="195" t="s">
        <v>1693</v>
      </c>
      <c r="D1248" s="64">
        <v>57810</v>
      </c>
      <c r="E1248" s="195" t="s">
        <v>373</v>
      </c>
      <c r="F1248" s="71" t="s">
        <v>367</v>
      </c>
      <c r="G1248" s="71" t="s">
        <v>397</v>
      </c>
      <c r="H1248" s="71" t="s">
        <v>1663</v>
      </c>
      <c r="I1248" s="71" t="s">
        <v>1661</v>
      </c>
    </row>
    <row r="1249" spans="1:9" ht="43.5" x14ac:dyDescent="0.35">
      <c r="A1249" s="195">
        <v>8</v>
      </c>
      <c r="B1249" s="195">
        <v>36</v>
      </c>
      <c r="C1249" s="195" t="s">
        <v>1694</v>
      </c>
      <c r="D1249" s="64">
        <v>27330</v>
      </c>
      <c r="E1249" s="195" t="s">
        <v>366</v>
      </c>
      <c r="F1249" s="71" t="s">
        <v>367</v>
      </c>
      <c r="G1249" s="71" t="s">
        <v>397</v>
      </c>
      <c r="H1249" s="71" t="s">
        <v>1667</v>
      </c>
      <c r="I1249" s="71" t="s">
        <v>1653</v>
      </c>
    </row>
    <row r="1250" spans="1:9" ht="43.5" x14ac:dyDescent="0.35">
      <c r="A1250" s="195">
        <v>8</v>
      </c>
      <c r="B1250" s="195">
        <v>37</v>
      </c>
      <c r="C1250" s="195" t="s">
        <v>1695</v>
      </c>
      <c r="D1250" s="195">
        <v>150</v>
      </c>
      <c r="E1250" s="195" t="s">
        <v>373</v>
      </c>
      <c r="F1250" s="71" t="s">
        <v>367</v>
      </c>
      <c r="G1250" s="71" t="s">
        <v>397</v>
      </c>
      <c r="H1250" s="71" t="s">
        <v>1667</v>
      </c>
      <c r="I1250" s="71" t="s">
        <v>1659</v>
      </c>
    </row>
    <row r="1251" spans="1:9" ht="43.5" x14ac:dyDescent="0.35">
      <c r="A1251" s="195">
        <v>8</v>
      </c>
      <c r="B1251" s="195">
        <v>38</v>
      </c>
      <c r="C1251" s="195" t="s">
        <v>1696</v>
      </c>
      <c r="D1251" s="64">
        <v>27180</v>
      </c>
      <c r="E1251" s="195" t="s">
        <v>373</v>
      </c>
      <c r="F1251" s="71" t="s">
        <v>367</v>
      </c>
      <c r="G1251" s="71" t="s">
        <v>397</v>
      </c>
      <c r="H1251" s="71" t="s">
        <v>1667</v>
      </c>
      <c r="I1251" s="71" t="s">
        <v>1661</v>
      </c>
    </row>
    <row r="1252" spans="1:9" ht="43.5" x14ac:dyDescent="0.35">
      <c r="A1252" s="195">
        <v>8</v>
      </c>
      <c r="B1252" s="195">
        <v>39</v>
      </c>
      <c r="C1252" s="195" t="s">
        <v>1697</v>
      </c>
      <c r="D1252" s="195">
        <v>0</v>
      </c>
      <c r="E1252" s="195" t="s">
        <v>366</v>
      </c>
      <c r="F1252" s="71" t="s">
        <v>367</v>
      </c>
      <c r="G1252" s="71" t="s">
        <v>397</v>
      </c>
      <c r="H1252" s="71" t="s">
        <v>1671</v>
      </c>
      <c r="I1252" s="71" t="s">
        <v>1653</v>
      </c>
    </row>
    <row r="1253" spans="1:9" ht="43.5" x14ac:dyDescent="0.35">
      <c r="A1253" s="195">
        <v>8</v>
      </c>
      <c r="B1253" s="195">
        <v>40</v>
      </c>
      <c r="C1253" s="195" t="s">
        <v>1698</v>
      </c>
      <c r="D1253" s="195">
        <v>0</v>
      </c>
      <c r="E1253" s="195" t="s">
        <v>373</v>
      </c>
      <c r="F1253" s="71" t="s">
        <v>367</v>
      </c>
      <c r="G1253" s="71" t="s">
        <v>397</v>
      </c>
      <c r="H1253" s="71" t="s">
        <v>1671</v>
      </c>
      <c r="I1253" s="71" t="s">
        <v>1659</v>
      </c>
    </row>
    <row r="1254" spans="1:9" ht="43.5" x14ac:dyDescent="0.35">
      <c r="A1254" s="195">
        <v>8</v>
      </c>
      <c r="B1254" s="195">
        <v>41</v>
      </c>
      <c r="C1254" s="195" t="s">
        <v>1699</v>
      </c>
      <c r="D1254" s="195">
        <v>0</v>
      </c>
      <c r="E1254" s="195" t="s">
        <v>373</v>
      </c>
      <c r="F1254" s="71" t="s">
        <v>367</v>
      </c>
      <c r="G1254" s="71" t="s">
        <v>397</v>
      </c>
      <c r="H1254" s="71" t="s">
        <v>1671</v>
      </c>
      <c r="I1254" s="71" t="s">
        <v>1661</v>
      </c>
    </row>
    <row r="1255" spans="1:9" ht="43.5" x14ac:dyDescent="0.35">
      <c r="A1255" s="195">
        <v>8</v>
      </c>
      <c r="B1255" s="195">
        <v>42</v>
      </c>
      <c r="C1255" s="195" t="s">
        <v>1700</v>
      </c>
      <c r="D1255" s="64">
        <v>114210</v>
      </c>
      <c r="E1255" s="195" t="s">
        <v>366</v>
      </c>
      <c r="F1255" s="71" t="s">
        <v>367</v>
      </c>
      <c r="G1255" s="71" t="s">
        <v>406</v>
      </c>
      <c r="H1255" s="71" t="s">
        <v>1374</v>
      </c>
      <c r="I1255" s="71" t="s">
        <v>1653</v>
      </c>
    </row>
    <row r="1256" spans="1:9" ht="43.5" x14ac:dyDescent="0.35">
      <c r="A1256" s="195">
        <v>8</v>
      </c>
      <c r="B1256" s="195">
        <v>43</v>
      </c>
      <c r="C1256" s="195" t="s">
        <v>1701</v>
      </c>
      <c r="D1256" s="64">
        <v>77815</v>
      </c>
      <c r="E1256" s="195" t="s">
        <v>366</v>
      </c>
      <c r="F1256" s="71" t="s">
        <v>367</v>
      </c>
      <c r="G1256" s="71" t="s">
        <v>406</v>
      </c>
      <c r="H1256" s="71" t="s">
        <v>1657</v>
      </c>
      <c r="I1256" s="71" t="s">
        <v>1653</v>
      </c>
    </row>
    <row r="1257" spans="1:9" ht="43.5" x14ac:dyDescent="0.35">
      <c r="A1257" s="195">
        <v>8</v>
      </c>
      <c r="B1257" s="195">
        <v>44</v>
      </c>
      <c r="C1257" s="195" t="s">
        <v>1702</v>
      </c>
      <c r="D1257" s="195">
        <v>300</v>
      </c>
      <c r="E1257" s="195" t="s">
        <v>373</v>
      </c>
      <c r="F1257" s="71" t="s">
        <v>367</v>
      </c>
      <c r="G1257" s="71" t="s">
        <v>406</v>
      </c>
      <c r="H1257" s="71" t="s">
        <v>1657</v>
      </c>
      <c r="I1257" s="71" t="s">
        <v>1659</v>
      </c>
    </row>
    <row r="1258" spans="1:9" ht="43.5" x14ac:dyDescent="0.35">
      <c r="A1258" s="195">
        <v>8</v>
      </c>
      <c r="B1258" s="195">
        <v>45</v>
      </c>
      <c r="C1258" s="195" t="s">
        <v>1703</v>
      </c>
      <c r="D1258" s="64">
        <v>77515</v>
      </c>
      <c r="E1258" s="195" t="s">
        <v>373</v>
      </c>
      <c r="F1258" s="71" t="s">
        <v>367</v>
      </c>
      <c r="G1258" s="71" t="s">
        <v>406</v>
      </c>
      <c r="H1258" s="71" t="s">
        <v>1657</v>
      </c>
      <c r="I1258" s="71" t="s">
        <v>1661</v>
      </c>
    </row>
    <row r="1259" spans="1:9" ht="43.5" x14ac:dyDescent="0.35">
      <c r="A1259" s="195">
        <v>8</v>
      </c>
      <c r="B1259" s="195">
        <v>46</v>
      </c>
      <c r="C1259" s="195" t="s">
        <v>1704</v>
      </c>
      <c r="D1259" s="64">
        <v>29545</v>
      </c>
      <c r="E1259" s="195" t="s">
        <v>366</v>
      </c>
      <c r="F1259" s="71" t="s">
        <v>367</v>
      </c>
      <c r="G1259" s="71" t="s">
        <v>406</v>
      </c>
      <c r="H1259" s="71" t="s">
        <v>1663</v>
      </c>
      <c r="I1259" s="71" t="s">
        <v>1653</v>
      </c>
    </row>
    <row r="1260" spans="1:9" ht="43.5" x14ac:dyDescent="0.35">
      <c r="A1260" s="195">
        <v>8</v>
      </c>
      <c r="B1260" s="195">
        <v>47</v>
      </c>
      <c r="C1260" s="195" t="s">
        <v>1705</v>
      </c>
      <c r="D1260" s="195">
        <v>25</v>
      </c>
      <c r="E1260" s="195" t="s">
        <v>373</v>
      </c>
      <c r="F1260" s="71" t="s">
        <v>367</v>
      </c>
      <c r="G1260" s="71" t="s">
        <v>406</v>
      </c>
      <c r="H1260" s="71" t="s">
        <v>1663</v>
      </c>
      <c r="I1260" s="71" t="s">
        <v>1659</v>
      </c>
    </row>
    <row r="1261" spans="1:9" ht="43.5" x14ac:dyDescent="0.35">
      <c r="A1261" s="195">
        <v>8</v>
      </c>
      <c r="B1261" s="195">
        <v>48</v>
      </c>
      <c r="C1261" s="195" t="s">
        <v>1706</v>
      </c>
      <c r="D1261" s="64">
        <v>29515</v>
      </c>
      <c r="E1261" s="195" t="s">
        <v>373</v>
      </c>
      <c r="F1261" s="71" t="s">
        <v>367</v>
      </c>
      <c r="G1261" s="71" t="s">
        <v>406</v>
      </c>
      <c r="H1261" s="71" t="s">
        <v>1663</v>
      </c>
      <c r="I1261" s="71" t="s">
        <v>1661</v>
      </c>
    </row>
    <row r="1262" spans="1:9" ht="43.5" x14ac:dyDescent="0.35">
      <c r="A1262" s="195">
        <v>8</v>
      </c>
      <c r="B1262" s="195">
        <v>49</v>
      </c>
      <c r="C1262" s="195" t="s">
        <v>1707</v>
      </c>
      <c r="D1262" s="64">
        <v>6850</v>
      </c>
      <c r="E1262" s="195" t="s">
        <v>366</v>
      </c>
      <c r="F1262" s="71" t="s">
        <v>367</v>
      </c>
      <c r="G1262" s="71" t="s">
        <v>406</v>
      </c>
      <c r="H1262" s="71" t="s">
        <v>1667</v>
      </c>
      <c r="I1262" s="71" t="s">
        <v>1653</v>
      </c>
    </row>
    <row r="1263" spans="1:9" ht="43.5" x14ac:dyDescent="0.35">
      <c r="A1263" s="195">
        <v>8</v>
      </c>
      <c r="B1263" s="195">
        <v>50</v>
      </c>
      <c r="C1263" s="195" t="s">
        <v>1708</v>
      </c>
      <c r="D1263" s="195">
        <v>15</v>
      </c>
      <c r="E1263" s="195" t="s">
        <v>373</v>
      </c>
      <c r="F1263" s="71" t="s">
        <v>367</v>
      </c>
      <c r="G1263" s="71" t="s">
        <v>406</v>
      </c>
      <c r="H1263" s="71" t="s">
        <v>1667</v>
      </c>
      <c r="I1263" s="71" t="s">
        <v>1659</v>
      </c>
    </row>
    <row r="1264" spans="1:9" ht="43.5" x14ac:dyDescent="0.35">
      <c r="A1264" s="195">
        <v>8</v>
      </c>
      <c r="B1264" s="195">
        <v>51</v>
      </c>
      <c r="C1264" s="195" t="s">
        <v>1709</v>
      </c>
      <c r="D1264" s="64">
        <v>6835</v>
      </c>
      <c r="E1264" s="195" t="s">
        <v>373</v>
      </c>
      <c r="F1264" s="71" t="s">
        <v>367</v>
      </c>
      <c r="G1264" s="71" t="s">
        <v>406</v>
      </c>
      <c r="H1264" s="71" t="s">
        <v>1667</v>
      </c>
      <c r="I1264" s="71" t="s">
        <v>1661</v>
      </c>
    </row>
    <row r="1265" spans="1:9" ht="43.5" x14ac:dyDescent="0.35">
      <c r="A1265" s="195">
        <v>8</v>
      </c>
      <c r="B1265" s="195">
        <v>52</v>
      </c>
      <c r="C1265" s="195" t="s">
        <v>1710</v>
      </c>
      <c r="D1265" s="195">
        <v>0</v>
      </c>
      <c r="E1265" s="195" t="s">
        <v>366</v>
      </c>
      <c r="F1265" s="71" t="s">
        <v>367</v>
      </c>
      <c r="G1265" s="71" t="s">
        <v>406</v>
      </c>
      <c r="H1265" s="71" t="s">
        <v>1671</v>
      </c>
      <c r="I1265" s="71" t="s">
        <v>1653</v>
      </c>
    </row>
    <row r="1266" spans="1:9" ht="43.5" x14ac:dyDescent="0.35">
      <c r="A1266" s="195">
        <v>8</v>
      </c>
      <c r="B1266" s="195">
        <v>53</v>
      </c>
      <c r="C1266" s="195" t="s">
        <v>1711</v>
      </c>
      <c r="D1266" s="195">
        <v>0</v>
      </c>
      <c r="E1266" s="195" t="s">
        <v>373</v>
      </c>
      <c r="F1266" s="71" t="s">
        <v>367</v>
      </c>
      <c r="G1266" s="71" t="s">
        <v>406</v>
      </c>
      <c r="H1266" s="71" t="s">
        <v>1671</v>
      </c>
      <c r="I1266" s="71" t="s">
        <v>1659</v>
      </c>
    </row>
    <row r="1267" spans="1:9" ht="43.5" x14ac:dyDescent="0.35">
      <c r="A1267" s="195">
        <v>8</v>
      </c>
      <c r="B1267" s="195">
        <v>54</v>
      </c>
      <c r="C1267" s="195" t="s">
        <v>1712</v>
      </c>
      <c r="D1267" s="195">
        <v>0</v>
      </c>
      <c r="E1267" s="195" t="s">
        <v>373</v>
      </c>
      <c r="F1267" s="71" t="s">
        <v>367</v>
      </c>
      <c r="G1267" s="71" t="s">
        <v>406</v>
      </c>
      <c r="H1267" s="71" t="s">
        <v>1671</v>
      </c>
      <c r="I1267" s="71" t="s">
        <v>1661</v>
      </c>
    </row>
    <row r="1268" spans="1:9" ht="29" x14ac:dyDescent="0.35">
      <c r="A1268" s="195">
        <v>8</v>
      </c>
      <c r="B1268" s="195">
        <v>55</v>
      </c>
      <c r="C1268" s="195" t="s">
        <v>1713</v>
      </c>
      <c r="D1268" s="64">
        <v>595135</v>
      </c>
      <c r="E1268" s="195" t="s">
        <v>366</v>
      </c>
      <c r="F1268" s="71" t="s">
        <v>367</v>
      </c>
      <c r="G1268" s="71" t="s">
        <v>415</v>
      </c>
      <c r="H1268" s="71" t="s">
        <v>1374</v>
      </c>
      <c r="I1268" s="71" t="s">
        <v>1653</v>
      </c>
    </row>
    <row r="1269" spans="1:9" ht="29" x14ac:dyDescent="0.35">
      <c r="A1269" s="195">
        <v>8</v>
      </c>
      <c r="B1269" s="195">
        <v>56</v>
      </c>
      <c r="C1269" s="195" t="s">
        <v>1714</v>
      </c>
      <c r="D1269" s="64">
        <v>537310</v>
      </c>
      <c r="E1269" s="195" t="s">
        <v>366</v>
      </c>
      <c r="F1269" s="71" t="s">
        <v>367</v>
      </c>
      <c r="G1269" s="71" t="s">
        <v>415</v>
      </c>
      <c r="H1269" s="71" t="s">
        <v>1657</v>
      </c>
      <c r="I1269" s="71" t="s">
        <v>1653</v>
      </c>
    </row>
    <row r="1270" spans="1:9" ht="43.5" x14ac:dyDescent="0.35">
      <c r="A1270" s="195">
        <v>8</v>
      </c>
      <c r="B1270" s="195">
        <v>57</v>
      </c>
      <c r="C1270" s="195" t="s">
        <v>1715</v>
      </c>
      <c r="D1270" s="64">
        <v>1300</v>
      </c>
      <c r="E1270" s="195" t="s">
        <v>373</v>
      </c>
      <c r="F1270" s="71" t="s">
        <v>367</v>
      </c>
      <c r="G1270" s="71" t="s">
        <v>415</v>
      </c>
      <c r="H1270" s="71" t="s">
        <v>1657</v>
      </c>
      <c r="I1270" s="71" t="s">
        <v>1659</v>
      </c>
    </row>
    <row r="1271" spans="1:9" ht="43.5" x14ac:dyDescent="0.35">
      <c r="A1271" s="195">
        <v>8</v>
      </c>
      <c r="B1271" s="195">
        <v>58</v>
      </c>
      <c r="C1271" s="195" t="s">
        <v>1716</v>
      </c>
      <c r="D1271" s="64">
        <v>536015</v>
      </c>
      <c r="E1271" s="195" t="s">
        <v>373</v>
      </c>
      <c r="F1271" s="71" t="s">
        <v>367</v>
      </c>
      <c r="G1271" s="71" t="s">
        <v>415</v>
      </c>
      <c r="H1271" s="71" t="s">
        <v>1657</v>
      </c>
      <c r="I1271" s="71" t="s">
        <v>1661</v>
      </c>
    </row>
    <row r="1272" spans="1:9" ht="29" x14ac:dyDescent="0.35">
      <c r="A1272" s="195">
        <v>8</v>
      </c>
      <c r="B1272" s="195">
        <v>59</v>
      </c>
      <c r="C1272" s="195" t="s">
        <v>1717</v>
      </c>
      <c r="D1272" s="64">
        <v>50625</v>
      </c>
      <c r="E1272" s="195" t="s">
        <v>366</v>
      </c>
      <c r="F1272" s="71" t="s">
        <v>367</v>
      </c>
      <c r="G1272" s="71" t="s">
        <v>415</v>
      </c>
      <c r="H1272" s="71" t="s">
        <v>1663</v>
      </c>
      <c r="I1272" s="71" t="s">
        <v>1653</v>
      </c>
    </row>
    <row r="1273" spans="1:9" ht="43.5" x14ac:dyDescent="0.35">
      <c r="A1273" s="195">
        <v>8</v>
      </c>
      <c r="B1273" s="195">
        <v>60</v>
      </c>
      <c r="C1273" s="195" t="s">
        <v>1718</v>
      </c>
      <c r="D1273" s="195">
        <v>145</v>
      </c>
      <c r="E1273" s="195" t="s">
        <v>373</v>
      </c>
      <c r="F1273" s="71" t="s">
        <v>367</v>
      </c>
      <c r="G1273" s="71" t="s">
        <v>415</v>
      </c>
      <c r="H1273" s="71" t="s">
        <v>1663</v>
      </c>
      <c r="I1273" s="71" t="s">
        <v>1659</v>
      </c>
    </row>
    <row r="1274" spans="1:9" ht="43.5" x14ac:dyDescent="0.35">
      <c r="A1274" s="195">
        <v>8</v>
      </c>
      <c r="B1274" s="195">
        <v>61</v>
      </c>
      <c r="C1274" s="195" t="s">
        <v>1719</v>
      </c>
      <c r="D1274" s="64">
        <v>50485</v>
      </c>
      <c r="E1274" s="195" t="s">
        <v>373</v>
      </c>
      <c r="F1274" s="71" t="s">
        <v>367</v>
      </c>
      <c r="G1274" s="71" t="s">
        <v>415</v>
      </c>
      <c r="H1274" s="71" t="s">
        <v>1663</v>
      </c>
      <c r="I1274" s="71" t="s">
        <v>1661</v>
      </c>
    </row>
    <row r="1275" spans="1:9" ht="29" x14ac:dyDescent="0.35">
      <c r="A1275" s="195">
        <v>8</v>
      </c>
      <c r="B1275" s="195">
        <v>62</v>
      </c>
      <c r="C1275" s="195" t="s">
        <v>1720</v>
      </c>
      <c r="D1275" s="64">
        <v>7195</v>
      </c>
      <c r="E1275" s="195" t="s">
        <v>366</v>
      </c>
      <c r="F1275" s="71" t="s">
        <v>367</v>
      </c>
      <c r="G1275" s="71" t="s">
        <v>415</v>
      </c>
      <c r="H1275" s="71" t="s">
        <v>1667</v>
      </c>
      <c r="I1275" s="71" t="s">
        <v>1653</v>
      </c>
    </row>
    <row r="1276" spans="1:9" ht="43.5" x14ac:dyDescent="0.35">
      <c r="A1276" s="195">
        <v>8</v>
      </c>
      <c r="B1276" s="195">
        <v>63</v>
      </c>
      <c r="C1276" s="195" t="s">
        <v>1721</v>
      </c>
      <c r="D1276" s="195">
        <v>25</v>
      </c>
      <c r="E1276" s="195" t="s">
        <v>373</v>
      </c>
      <c r="F1276" s="71" t="s">
        <v>367</v>
      </c>
      <c r="G1276" s="71" t="s">
        <v>415</v>
      </c>
      <c r="H1276" s="71" t="s">
        <v>1667</v>
      </c>
      <c r="I1276" s="71" t="s">
        <v>1659</v>
      </c>
    </row>
    <row r="1277" spans="1:9" ht="43.5" x14ac:dyDescent="0.35">
      <c r="A1277" s="195">
        <v>8</v>
      </c>
      <c r="B1277" s="195">
        <v>64</v>
      </c>
      <c r="C1277" s="195" t="s">
        <v>1722</v>
      </c>
      <c r="D1277" s="64">
        <v>7175</v>
      </c>
      <c r="E1277" s="195" t="s">
        <v>373</v>
      </c>
      <c r="F1277" s="71" t="s">
        <v>367</v>
      </c>
      <c r="G1277" s="71" t="s">
        <v>415</v>
      </c>
      <c r="H1277" s="71" t="s">
        <v>1667</v>
      </c>
      <c r="I1277" s="71" t="s">
        <v>1661</v>
      </c>
    </row>
    <row r="1278" spans="1:9" ht="29" x14ac:dyDescent="0.35">
      <c r="A1278" s="195">
        <v>8</v>
      </c>
      <c r="B1278" s="195">
        <v>65</v>
      </c>
      <c r="C1278" s="195" t="s">
        <v>1723</v>
      </c>
      <c r="D1278" s="195">
        <v>0</v>
      </c>
      <c r="E1278" s="195" t="s">
        <v>366</v>
      </c>
      <c r="F1278" s="71" t="s">
        <v>367</v>
      </c>
      <c r="G1278" s="71" t="s">
        <v>415</v>
      </c>
      <c r="H1278" s="71" t="s">
        <v>1671</v>
      </c>
      <c r="I1278" s="71" t="s">
        <v>1653</v>
      </c>
    </row>
    <row r="1279" spans="1:9" ht="43.5" x14ac:dyDescent="0.35">
      <c r="A1279" s="195">
        <v>8</v>
      </c>
      <c r="B1279" s="195">
        <v>66</v>
      </c>
      <c r="C1279" s="195" t="s">
        <v>1724</v>
      </c>
      <c r="D1279" s="195">
        <v>0</v>
      </c>
      <c r="E1279" s="195" t="s">
        <v>373</v>
      </c>
      <c r="F1279" s="71" t="s">
        <v>367</v>
      </c>
      <c r="G1279" s="71" t="s">
        <v>415</v>
      </c>
      <c r="H1279" s="71" t="s">
        <v>1671</v>
      </c>
      <c r="I1279" s="71" t="s">
        <v>1659</v>
      </c>
    </row>
    <row r="1280" spans="1:9" ht="43.5" x14ac:dyDescent="0.35">
      <c r="A1280" s="195">
        <v>8</v>
      </c>
      <c r="B1280" s="195">
        <v>67</v>
      </c>
      <c r="C1280" s="195" t="s">
        <v>1725</v>
      </c>
      <c r="D1280" s="195">
        <v>0</v>
      </c>
      <c r="E1280" s="195" t="s">
        <v>373</v>
      </c>
      <c r="F1280" s="71" t="s">
        <v>367</v>
      </c>
      <c r="G1280" s="71" t="s">
        <v>415</v>
      </c>
      <c r="H1280" s="71" t="s">
        <v>1671</v>
      </c>
      <c r="I1280" s="71" t="s">
        <v>1661</v>
      </c>
    </row>
    <row r="1281" spans="1:9" x14ac:dyDescent="0.35">
      <c r="A1281" s="195">
        <v>8</v>
      </c>
      <c r="B1281" s="195">
        <v>68</v>
      </c>
      <c r="C1281" s="195" t="s">
        <v>1726</v>
      </c>
      <c r="D1281" s="64">
        <v>846440</v>
      </c>
      <c r="E1281" s="195" t="s">
        <v>366</v>
      </c>
      <c r="F1281" s="71" t="s">
        <v>508</v>
      </c>
      <c r="G1281" s="71" t="s">
        <v>363</v>
      </c>
      <c r="H1281" s="71" t="s">
        <v>1374</v>
      </c>
      <c r="I1281" s="71" t="s">
        <v>1653</v>
      </c>
    </row>
    <row r="1282" spans="1:9" ht="29" x14ac:dyDescent="0.35">
      <c r="A1282" s="195">
        <v>8</v>
      </c>
      <c r="B1282" s="195">
        <v>69</v>
      </c>
      <c r="C1282" s="195" t="s">
        <v>1727</v>
      </c>
      <c r="D1282" s="64">
        <v>263215</v>
      </c>
      <c r="E1282" s="195" t="s">
        <v>366</v>
      </c>
      <c r="F1282" s="71" t="s">
        <v>508</v>
      </c>
      <c r="G1282" s="71" t="s">
        <v>371</v>
      </c>
      <c r="H1282" s="71" t="s">
        <v>1374</v>
      </c>
      <c r="I1282" s="71" t="s">
        <v>1653</v>
      </c>
    </row>
    <row r="1283" spans="1:9" ht="29" x14ac:dyDescent="0.35">
      <c r="A1283" s="195">
        <v>8</v>
      </c>
      <c r="B1283" s="195">
        <v>70</v>
      </c>
      <c r="C1283" s="195" t="s">
        <v>1728</v>
      </c>
      <c r="D1283" s="64">
        <v>32100</v>
      </c>
      <c r="E1283" s="195" t="s">
        <v>366</v>
      </c>
      <c r="F1283" s="71" t="s">
        <v>508</v>
      </c>
      <c r="G1283" s="71" t="s">
        <v>371</v>
      </c>
      <c r="H1283" s="71" t="s">
        <v>1657</v>
      </c>
      <c r="I1283" s="71" t="s">
        <v>1653</v>
      </c>
    </row>
    <row r="1284" spans="1:9" ht="43.5" x14ac:dyDescent="0.35">
      <c r="A1284" s="195">
        <v>8</v>
      </c>
      <c r="B1284" s="195">
        <v>71</v>
      </c>
      <c r="C1284" s="195" t="s">
        <v>1729</v>
      </c>
      <c r="D1284" s="195">
        <v>880</v>
      </c>
      <c r="E1284" s="195" t="s">
        <v>373</v>
      </c>
      <c r="F1284" s="71" t="s">
        <v>508</v>
      </c>
      <c r="G1284" s="71" t="s">
        <v>371</v>
      </c>
      <c r="H1284" s="71" t="s">
        <v>1657</v>
      </c>
      <c r="I1284" s="71" t="s">
        <v>1659</v>
      </c>
    </row>
    <row r="1285" spans="1:9" ht="43.5" x14ac:dyDescent="0.35">
      <c r="A1285" s="195">
        <v>8</v>
      </c>
      <c r="B1285" s="195">
        <v>72</v>
      </c>
      <c r="C1285" s="195" t="s">
        <v>1730</v>
      </c>
      <c r="D1285" s="64">
        <v>31215</v>
      </c>
      <c r="E1285" s="195" t="s">
        <v>373</v>
      </c>
      <c r="F1285" s="71" t="s">
        <v>508</v>
      </c>
      <c r="G1285" s="71" t="s">
        <v>371</v>
      </c>
      <c r="H1285" s="71" t="s">
        <v>1657</v>
      </c>
      <c r="I1285" s="71" t="s">
        <v>1661</v>
      </c>
    </row>
    <row r="1286" spans="1:9" ht="29" x14ac:dyDescent="0.35">
      <c r="A1286" s="195">
        <v>8</v>
      </c>
      <c r="B1286" s="195">
        <v>73</v>
      </c>
      <c r="C1286" s="195" t="s">
        <v>1731</v>
      </c>
      <c r="D1286" s="64">
        <v>34845</v>
      </c>
      <c r="E1286" s="195" t="s">
        <v>366</v>
      </c>
      <c r="F1286" s="71" t="s">
        <v>508</v>
      </c>
      <c r="G1286" s="71" t="s">
        <v>371</v>
      </c>
      <c r="H1286" s="71" t="s">
        <v>1663</v>
      </c>
      <c r="I1286" s="71" t="s">
        <v>1653</v>
      </c>
    </row>
    <row r="1287" spans="1:9" ht="43.5" x14ac:dyDescent="0.35">
      <c r="A1287" s="195">
        <v>8</v>
      </c>
      <c r="B1287" s="195">
        <v>74</v>
      </c>
      <c r="C1287" s="195" t="s">
        <v>1732</v>
      </c>
      <c r="D1287" s="195">
        <v>740</v>
      </c>
      <c r="E1287" s="195" t="s">
        <v>373</v>
      </c>
      <c r="F1287" s="71" t="s">
        <v>508</v>
      </c>
      <c r="G1287" s="71" t="s">
        <v>371</v>
      </c>
      <c r="H1287" s="71" t="s">
        <v>1663</v>
      </c>
      <c r="I1287" s="71" t="s">
        <v>1659</v>
      </c>
    </row>
    <row r="1288" spans="1:9" ht="43.5" x14ac:dyDescent="0.35">
      <c r="A1288" s="195">
        <v>8</v>
      </c>
      <c r="B1288" s="195">
        <v>75</v>
      </c>
      <c r="C1288" s="195" t="s">
        <v>1733</v>
      </c>
      <c r="D1288" s="64">
        <v>34105</v>
      </c>
      <c r="E1288" s="195" t="s">
        <v>373</v>
      </c>
      <c r="F1288" s="71" t="s">
        <v>508</v>
      </c>
      <c r="G1288" s="71" t="s">
        <v>371</v>
      </c>
      <c r="H1288" s="71" t="s">
        <v>1663</v>
      </c>
      <c r="I1288" s="71" t="s">
        <v>1661</v>
      </c>
    </row>
    <row r="1289" spans="1:9" ht="29" x14ac:dyDescent="0.35">
      <c r="A1289" s="195">
        <v>8</v>
      </c>
      <c r="B1289" s="195">
        <v>76</v>
      </c>
      <c r="C1289" s="195" t="s">
        <v>1734</v>
      </c>
      <c r="D1289" s="64">
        <v>164600</v>
      </c>
      <c r="E1289" s="195" t="s">
        <v>366</v>
      </c>
      <c r="F1289" s="71" t="s">
        <v>508</v>
      </c>
      <c r="G1289" s="71" t="s">
        <v>371</v>
      </c>
      <c r="H1289" s="71" t="s">
        <v>1667</v>
      </c>
      <c r="I1289" s="71" t="s">
        <v>1653</v>
      </c>
    </row>
    <row r="1290" spans="1:9" ht="43.5" x14ac:dyDescent="0.35">
      <c r="A1290" s="195">
        <v>8</v>
      </c>
      <c r="B1290" s="195">
        <v>77</v>
      </c>
      <c r="C1290" s="195" t="s">
        <v>1735</v>
      </c>
      <c r="D1290" s="64">
        <v>3825</v>
      </c>
      <c r="E1290" s="195" t="s">
        <v>373</v>
      </c>
      <c r="F1290" s="71" t="s">
        <v>508</v>
      </c>
      <c r="G1290" s="71" t="s">
        <v>371</v>
      </c>
      <c r="H1290" s="71" t="s">
        <v>1667</v>
      </c>
      <c r="I1290" s="71" t="s">
        <v>1659</v>
      </c>
    </row>
    <row r="1291" spans="1:9" ht="43.5" x14ac:dyDescent="0.35">
      <c r="A1291" s="195">
        <v>8</v>
      </c>
      <c r="B1291" s="195">
        <v>78</v>
      </c>
      <c r="C1291" s="195" t="s">
        <v>1736</v>
      </c>
      <c r="D1291" s="64">
        <v>160775</v>
      </c>
      <c r="E1291" s="195" t="s">
        <v>373</v>
      </c>
      <c r="F1291" s="71" t="s">
        <v>508</v>
      </c>
      <c r="G1291" s="71" t="s">
        <v>371</v>
      </c>
      <c r="H1291" s="71" t="s">
        <v>1667</v>
      </c>
      <c r="I1291" s="71" t="s">
        <v>1661</v>
      </c>
    </row>
    <row r="1292" spans="1:9" ht="29" x14ac:dyDescent="0.35">
      <c r="A1292" s="195">
        <v>8</v>
      </c>
      <c r="B1292" s="195">
        <v>79</v>
      </c>
      <c r="C1292" s="195" t="s">
        <v>1737</v>
      </c>
      <c r="D1292" s="64">
        <v>31670</v>
      </c>
      <c r="E1292" s="195" t="s">
        <v>366</v>
      </c>
      <c r="F1292" s="71" t="s">
        <v>508</v>
      </c>
      <c r="G1292" s="71" t="s">
        <v>371</v>
      </c>
      <c r="H1292" s="71" t="s">
        <v>1671</v>
      </c>
      <c r="I1292" s="71" t="s">
        <v>1653</v>
      </c>
    </row>
    <row r="1293" spans="1:9" ht="43.5" x14ac:dyDescent="0.35">
      <c r="A1293" s="195">
        <v>8</v>
      </c>
      <c r="B1293" s="195">
        <v>80</v>
      </c>
      <c r="C1293" s="195" t="s">
        <v>1738</v>
      </c>
      <c r="D1293" s="195">
        <v>725</v>
      </c>
      <c r="E1293" s="195" t="s">
        <v>373</v>
      </c>
      <c r="F1293" s="71" t="s">
        <v>508</v>
      </c>
      <c r="G1293" s="71" t="s">
        <v>371</v>
      </c>
      <c r="H1293" s="71" t="s">
        <v>1671</v>
      </c>
      <c r="I1293" s="71" t="s">
        <v>1659</v>
      </c>
    </row>
    <row r="1294" spans="1:9" ht="43.5" x14ac:dyDescent="0.35">
      <c r="A1294" s="195">
        <v>8</v>
      </c>
      <c r="B1294" s="195">
        <v>81</v>
      </c>
      <c r="C1294" s="195" t="s">
        <v>1739</v>
      </c>
      <c r="D1294" s="64">
        <v>30945</v>
      </c>
      <c r="E1294" s="195" t="s">
        <v>373</v>
      </c>
      <c r="F1294" s="71" t="s">
        <v>508</v>
      </c>
      <c r="G1294" s="71" t="s">
        <v>371</v>
      </c>
      <c r="H1294" s="71" t="s">
        <v>1671</v>
      </c>
      <c r="I1294" s="71" t="s">
        <v>1661</v>
      </c>
    </row>
    <row r="1295" spans="1:9" ht="43.5" x14ac:dyDescent="0.35">
      <c r="A1295" s="195">
        <v>8</v>
      </c>
      <c r="B1295" s="195">
        <v>82</v>
      </c>
      <c r="C1295" s="195" t="s">
        <v>1740</v>
      </c>
      <c r="D1295" s="64">
        <v>147875</v>
      </c>
      <c r="E1295" s="195" t="s">
        <v>366</v>
      </c>
      <c r="F1295" s="71" t="s">
        <v>508</v>
      </c>
      <c r="G1295" s="71" t="s">
        <v>388</v>
      </c>
      <c r="H1295" s="71" t="s">
        <v>1374</v>
      </c>
      <c r="I1295" s="71" t="s">
        <v>1653</v>
      </c>
    </row>
    <row r="1296" spans="1:9" ht="43.5" x14ac:dyDescent="0.35">
      <c r="A1296" s="195">
        <v>8</v>
      </c>
      <c r="B1296" s="195">
        <v>83</v>
      </c>
      <c r="C1296" s="195" t="s">
        <v>1741</v>
      </c>
      <c r="D1296" s="64">
        <v>34680</v>
      </c>
      <c r="E1296" s="195" t="s">
        <v>366</v>
      </c>
      <c r="F1296" s="71" t="s">
        <v>508</v>
      </c>
      <c r="G1296" s="71" t="s">
        <v>388</v>
      </c>
      <c r="H1296" s="71" t="s">
        <v>1657</v>
      </c>
      <c r="I1296" s="71" t="s">
        <v>1653</v>
      </c>
    </row>
    <row r="1297" spans="1:9" ht="43.5" x14ac:dyDescent="0.35">
      <c r="A1297" s="195">
        <v>8</v>
      </c>
      <c r="B1297" s="195">
        <v>84</v>
      </c>
      <c r="C1297" s="195" t="s">
        <v>1742</v>
      </c>
      <c r="D1297" s="195">
        <v>715</v>
      </c>
      <c r="E1297" s="195" t="s">
        <v>373</v>
      </c>
      <c r="F1297" s="71" t="s">
        <v>508</v>
      </c>
      <c r="G1297" s="71" t="s">
        <v>388</v>
      </c>
      <c r="H1297" s="71" t="s">
        <v>1657</v>
      </c>
      <c r="I1297" s="71" t="s">
        <v>1659</v>
      </c>
    </row>
    <row r="1298" spans="1:9" ht="43.5" x14ac:dyDescent="0.35">
      <c r="A1298" s="195">
        <v>8</v>
      </c>
      <c r="B1298" s="195">
        <v>85</v>
      </c>
      <c r="C1298" s="195" t="s">
        <v>1743</v>
      </c>
      <c r="D1298" s="64">
        <v>33965</v>
      </c>
      <c r="E1298" s="195" t="s">
        <v>373</v>
      </c>
      <c r="F1298" s="71" t="s">
        <v>508</v>
      </c>
      <c r="G1298" s="71" t="s">
        <v>388</v>
      </c>
      <c r="H1298" s="71" t="s">
        <v>1657</v>
      </c>
      <c r="I1298" s="71" t="s">
        <v>1661</v>
      </c>
    </row>
    <row r="1299" spans="1:9" ht="43.5" x14ac:dyDescent="0.35">
      <c r="A1299" s="195">
        <v>8</v>
      </c>
      <c r="B1299" s="195">
        <v>86</v>
      </c>
      <c r="C1299" s="195" t="s">
        <v>1744</v>
      </c>
      <c r="D1299" s="64">
        <v>75215</v>
      </c>
      <c r="E1299" s="195" t="s">
        <v>366</v>
      </c>
      <c r="F1299" s="71" t="s">
        <v>508</v>
      </c>
      <c r="G1299" s="71" t="s">
        <v>388</v>
      </c>
      <c r="H1299" s="71" t="s">
        <v>1663</v>
      </c>
      <c r="I1299" s="71" t="s">
        <v>1653</v>
      </c>
    </row>
    <row r="1300" spans="1:9" ht="43.5" x14ac:dyDescent="0.35">
      <c r="A1300" s="195">
        <v>8</v>
      </c>
      <c r="B1300" s="195">
        <v>87</v>
      </c>
      <c r="C1300" s="195" t="s">
        <v>1745</v>
      </c>
      <c r="D1300" s="195">
        <v>805</v>
      </c>
      <c r="E1300" s="195" t="s">
        <v>373</v>
      </c>
      <c r="F1300" s="71" t="s">
        <v>508</v>
      </c>
      <c r="G1300" s="71" t="s">
        <v>388</v>
      </c>
      <c r="H1300" s="71" t="s">
        <v>1663</v>
      </c>
      <c r="I1300" s="71" t="s">
        <v>1659</v>
      </c>
    </row>
    <row r="1301" spans="1:9" ht="43.5" x14ac:dyDescent="0.35">
      <c r="A1301" s="195">
        <v>8</v>
      </c>
      <c r="B1301" s="195">
        <v>88</v>
      </c>
      <c r="C1301" s="195" t="s">
        <v>1746</v>
      </c>
      <c r="D1301" s="64">
        <v>74410</v>
      </c>
      <c r="E1301" s="195" t="s">
        <v>373</v>
      </c>
      <c r="F1301" s="71" t="s">
        <v>508</v>
      </c>
      <c r="G1301" s="71" t="s">
        <v>388</v>
      </c>
      <c r="H1301" s="71" t="s">
        <v>1663</v>
      </c>
      <c r="I1301" s="71" t="s">
        <v>1661</v>
      </c>
    </row>
    <row r="1302" spans="1:9" ht="43.5" x14ac:dyDescent="0.35">
      <c r="A1302" s="195">
        <v>8</v>
      </c>
      <c r="B1302" s="195">
        <v>89</v>
      </c>
      <c r="C1302" s="195" t="s">
        <v>1747</v>
      </c>
      <c r="D1302" s="64">
        <v>37975</v>
      </c>
      <c r="E1302" s="195" t="s">
        <v>366</v>
      </c>
      <c r="F1302" s="71" t="s">
        <v>508</v>
      </c>
      <c r="G1302" s="71" t="s">
        <v>388</v>
      </c>
      <c r="H1302" s="71" t="s">
        <v>1667</v>
      </c>
      <c r="I1302" s="71" t="s">
        <v>1653</v>
      </c>
    </row>
    <row r="1303" spans="1:9" ht="43.5" x14ac:dyDescent="0.35">
      <c r="A1303" s="195">
        <v>8</v>
      </c>
      <c r="B1303" s="195">
        <v>90</v>
      </c>
      <c r="C1303" s="195" t="s">
        <v>1748</v>
      </c>
      <c r="D1303" s="195">
        <v>665</v>
      </c>
      <c r="E1303" s="195" t="s">
        <v>373</v>
      </c>
      <c r="F1303" s="71" t="s">
        <v>508</v>
      </c>
      <c r="G1303" s="71" t="s">
        <v>388</v>
      </c>
      <c r="H1303" s="71" t="s">
        <v>1667</v>
      </c>
      <c r="I1303" s="71" t="s">
        <v>1659</v>
      </c>
    </row>
    <row r="1304" spans="1:9" ht="43.5" x14ac:dyDescent="0.35">
      <c r="A1304" s="195">
        <v>8</v>
      </c>
      <c r="B1304" s="195">
        <v>91</v>
      </c>
      <c r="C1304" s="195" t="s">
        <v>1749</v>
      </c>
      <c r="D1304" s="64">
        <v>37315</v>
      </c>
      <c r="E1304" s="195" t="s">
        <v>373</v>
      </c>
      <c r="F1304" s="71" t="s">
        <v>508</v>
      </c>
      <c r="G1304" s="71" t="s">
        <v>388</v>
      </c>
      <c r="H1304" s="71" t="s">
        <v>1667</v>
      </c>
      <c r="I1304" s="71" t="s">
        <v>1661</v>
      </c>
    </row>
    <row r="1305" spans="1:9" ht="43.5" x14ac:dyDescent="0.35">
      <c r="A1305" s="195">
        <v>8</v>
      </c>
      <c r="B1305" s="195">
        <v>92</v>
      </c>
      <c r="C1305" s="195" t="s">
        <v>1750</v>
      </c>
      <c r="D1305" s="195">
        <v>0</v>
      </c>
      <c r="E1305" s="195" t="s">
        <v>366</v>
      </c>
      <c r="F1305" s="71" t="s">
        <v>508</v>
      </c>
      <c r="G1305" s="71" t="s">
        <v>388</v>
      </c>
      <c r="H1305" s="71" t="s">
        <v>1671</v>
      </c>
      <c r="I1305" s="71" t="s">
        <v>1653</v>
      </c>
    </row>
    <row r="1306" spans="1:9" ht="43.5" x14ac:dyDescent="0.35">
      <c r="A1306" s="195">
        <v>8</v>
      </c>
      <c r="B1306" s="195">
        <v>93</v>
      </c>
      <c r="C1306" s="195" t="s">
        <v>1751</v>
      </c>
      <c r="D1306" s="195">
        <v>0</v>
      </c>
      <c r="E1306" s="195" t="s">
        <v>373</v>
      </c>
      <c r="F1306" s="71" t="s">
        <v>508</v>
      </c>
      <c r="G1306" s="71" t="s">
        <v>388</v>
      </c>
      <c r="H1306" s="71" t="s">
        <v>1671</v>
      </c>
      <c r="I1306" s="71" t="s">
        <v>1659</v>
      </c>
    </row>
    <row r="1307" spans="1:9" ht="43.5" x14ac:dyDescent="0.35">
      <c r="A1307" s="195">
        <v>8</v>
      </c>
      <c r="B1307" s="195">
        <v>94</v>
      </c>
      <c r="C1307" s="195" t="s">
        <v>1752</v>
      </c>
      <c r="D1307" s="195">
        <v>0</v>
      </c>
      <c r="E1307" s="195" t="s">
        <v>373</v>
      </c>
      <c r="F1307" s="71" t="s">
        <v>508</v>
      </c>
      <c r="G1307" s="71" t="s">
        <v>388</v>
      </c>
      <c r="H1307" s="71" t="s">
        <v>1671</v>
      </c>
      <c r="I1307" s="71" t="s">
        <v>1661</v>
      </c>
    </row>
    <row r="1308" spans="1:9" ht="43.5" x14ac:dyDescent="0.35">
      <c r="A1308" s="195">
        <v>8</v>
      </c>
      <c r="B1308" s="195">
        <v>95</v>
      </c>
      <c r="C1308" s="195" t="s">
        <v>1753</v>
      </c>
      <c r="D1308" s="64">
        <v>153425</v>
      </c>
      <c r="E1308" s="195" t="s">
        <v>366</v>
      </c>
      <c r="F1308" s="71" t="s">
        <v>508</v>
      </c>
      <c r="G1308" s="71" t="s">
        <v>397</v>
      </c>
      <c r="H1308" s="71" t="s">
        <v>1374</v>
      </c>
      <c r="I1308" s="71" t="s">
        <v>1653</v>
      </c>
    </row>
    <row r="1309" spans="1:9" ht="43.5" x14ac:dyDescent="0.35">
      <c r="A1309" s="195">
        <v>8</v>
      </c>
      <c r="B1309" s="195">
        <v>96</v>
      </c>
      <c r="C1309" s="195" t="s">
        <v>1754</v>
      </c>
      <c r="D1309" s="64">
        <v>98855</v>
      </c>
      <c r="E1309" s="195" t="s">
        <v>366</v>
      </c>
      <c r="F1309" s="71" t="s">
        <v>508</v>
      </c>
      <c r="G1309" s="71" t="s">
        <v>397</v>
      </c>
      <c r="H1309" s="71" t="s">
        <v>1657</v>
      </c>
      <c r="I1309" s="71" t="s">
        <v>1653</v>
      </c>
    </row>
    <row r="1310" spans="1:9" ht="43.5" x14ac:dyDescent="0.35">
      <c r="A1310" s="195">
        <v>8</v>
      </c>
      <c r="B1310" s="195">
        <v>97</v>
      </c>
      <c r="C1310" s="195" t="s">
        <v>1755</v>
      </c>
      <c r="D1310" s="195">
        <v>960</v>
      </c>
      <c r="E1310" s="195" t="s">
        <v>373</v>
      </c>
      <c r="F1310" s="71" t="s">
        <v>508</v>
      </c>
      <c r="G1310" s="71" t="s">
        <v>397</v>
      </c>
      <c r="H1310" s="71" t="s">
        <v>1657</v>
      </c>
      <c r="I1310" s="71" t="s">
        <v>1659</v>
      </c>
    </row>
    <row r="1311" spans="1:9" ht="43.5" x14ac:dyDescent="0.35">
      <c r="A1311" s="195">
        <v>8</v>
      </c>
      <c r="B1311" s="195">
        <v>98</v>
      </c>
      <c r="C1311" s="195" t="s">
        <v>1756</v>
      </c>
      <c r="D1311" s="64">
        <v>97895</v>
      </c>
      <c r="E1311" s="195" t="s">
        <v>373</v>
      </c>
      <c r="F1311" s="71" t="s">
        <v>508</v>
      </c>
      <c r="G1311" s="71" t="s">
        <v>397</v>
      </c>
      <c r="H1311" s="71" t="s">
        <v>1657</v>
      </c>
      <c r="I1311" s="71" t="s">
        <v>1661</v>
      </c>
    </row>
    <row r="1312" spans="1:9" ht="43.5" x14ac:dyDescent="0.35">
      <c r="A1312" s="195">
        <v>8</v>
      </c>
      <c r="B1312" s="195">
        <v>99</v>
      </c>
      <c r="C1312" s="195" t="s">
        <v>1757</v>
      </c>
      <c r="D1312" s="64">
        <v>46855</v>
      </c>
      <c r="E1312" s="195" t="s">
        <v>366</v>
      </c>
      <c r="F1312" s="71" t="s">
        <v>508</v>
      </c>
      <c r="G1312" s="71" t="s">
        <v>397</v>
      </c>
      <c r="H1312" s="71" t="s">
        <v>1663</v>
      </c>
      <c r="I1312" s="71" t="s">
        <v>1653</v>
      </c>
    </row>
    <row r="1313" spans="1:9" ht="43.5" x14ac:dyDescent="0.35">
      <c r="A1313" s="195">
        <v>8</v>
      </c>
      <c r="B1313" s="195">
        <v>100</v>
      </c>
      <c r="C1313" s="195" t="s">
        <v>1758</v>
      </c>
      <c r="D1313" s="195">
        <v>210</v>
      </c>
      <c r="E1313" s="195" t="s">
        <v>373</v>
      </c>
      <c r="F1313" s="71" t="s">
        <v>508</v>
      </c>
      <c r="G1313" s="71" t="s">
        <v>397</v>
      </c>
      <c r="H1313" s="71" t="s">
        <v>1663</v>
      </c>
      <c r="I1313" s="71" t="s">
        <v>1659</v>
      </c>
    </row>
    <row r="1314" spans="1:9" ht="43.5" x14ac:dyDescent="0.35">
      <c r="A1314" s="195">
        <v>8</v>
      </c>
      <c r="B1314" s="195">
        <v>101</v>
      </c>
      <c r="C1314" s="195" t="s">
        <v>1759</v>
      </c>
      <c r="D1314" s="64">
        <v>46645</v>
      </c>
      <c r="E1314" s="195" t="s">
        <v>373</v>
      </c>
      <c r="F1314" s="71" t="s">
        <v>508</v>
      </c>
      <c r="G1314" s="71" t="s">
        <v>397</v>
      </c>
      <c r="H1314" s="71" t="s">
        <v>1663</v>
      </c>
      <c r="I1314" s="71" t="s">
        <v>1661</v>
      </c>
    </row>
    <row r="1315" spans="1:9" ht="43.5" x14ac:dyDescent="0.35">
      <c r="A1315" s="195">
        <v>8</v>
      </c>
      <c r="B1315" s="195">
        <v>102</v>
      </c>
      <c r="C1315" s="195" t="s">
        <v>1760</v>
      </c>
      <c r="D1315" s="64">
        <v>7710</v>
      </c>
      <c r="E1315" s="195" t="s">
        <v>366</v>
      </c>
      <c r="F1315" s="71" t="s">
        <v>508</v>
      </c>
      <c r="G1315" s="71" t="s">
        <v>397</v>
      </c>
      <c r="H1315" s="71" t="s">
        <v>1667</v>
      </c>
      <c r="I1315" s="71" t="s">
        <v>1653</v>
      </c>
    </row>
    <row r="1316" spans="1:9" ht="43.5" x14ac:dyDescent="0.35">
      <c r="A1316" s="195">
        <v>8</v>
      </c>
      <c r="B1316" s="195">
        <v>103</v>
      </c>
      <c r="C1316" s="195" t="s">
        <v>1761</v>
      </c>
      <c r="D1316" s="195">
        <v>145</v>
      </c>
      <c r="E1316" s="195" t="s">
        <v>373</v>
      </c>
      <c r="F1316" s="71" t="s">
        <v>508</v>
      </c>
      <c r="G1316" s="71" t="s">
        <v>397</v>
      </c>
      <c r="H1316" s="71" t="s">
        <v>1667</v>
      </c>
      <c r="I1316" s="71" t="s">
        <v>1659</v>
      </c>
    </row>
    <row r="1317" spans="1:9" ht="43.5" x14ac:dyDescent="0.35">
      <c r="A1317" s="195">
        <v>8</v>
      </c>
      <c r="B1317" s="195">
        <v>104</v>
      </c>
      <c r="C1317" s="195" t="s">
        <v>1762</v>
      </c>
      <c r="D1317" s="64">
        <v>7565</v>
      </c>
      <c r="E1317" s="195" t="s">
        <v>373</v>
      </c>
      <c r="F1317" s="71" t="s">
        <v>508</v>
      </c>
      <c r="G1317" s="71" t="s">
        <v>397</v>
      </c>
      <c r="H1317" s="71" t="s">
        <v>1667</v>
      </c>
      <c r="I1317" s="71" t="s">
        <v>1661</v>
      </c>
    </row>
    <row r="1318" spans="1:9" ht="43.5" x14ac:dyDescent="0.35">
      <c r="A1318" s="195">
        <v>8</v>
      </c>
      <c r="B1318" s="195">
        <v>105</v>
      </c>
      <c r="C1318" s="195" t="s">
        <v>1763</v>
      </c>
      <c r="D1318" s="195">
        <v>0</v>
      </c>
      <c r="E1318" s="195" t="s">
        <v>366</v>
      </c>
      <c r="F1318" s="71" t="s">
        <v>508</v>
      </c>
      <c r="G1318" s="71" t="s">
        <v>397</v>
      </c>
      <c r="H1318" s="71" t="s">
        <v>1671</v>
      </c>
      <c r="I1318" s="71" t="s">
        <v>1653</v>
      </c>
    </row>
    <row r="1319" spans="1:9" ht="43.5" x14ac:dyDescent="0.35">
      <c r="A1319" s="195">
        <v>8</v>
      </c>
      <c r="B1319" s="195">
        <v>106</v>
      </c>
      <c r="C1319" s="195" t="s">
        <v>1764</v>
      </c>
      <c r="D1319" s="195">
        <v>0</v>
      </c>
      <c r="E1319" s="195" t="s">
        <v>373</v>
      </c>
      <c r="F1319" s="71" t="s">
        <v>508</v>
      </c>
      <c r="G1319" s="71" t="s">
        <v>397</v>
      </c>
      <c r="H1319" s="71" t="s">
        <v>1671</v>
      </c>
      <c r="I1319" s="71" t="s">
        <v>1659</v>
      </c>
    </row>
    <row r="1320" spans="1:9" ht="43.5" x14ac:dyDescent="0.35">
      <c r="A1320" s="195">
        <v>8</v>
      </c>
      <c r="B1320" s="195">
        <v>107</v>
      </c>
      <c r="C1320" s="195" t="s">
        <v>1765</v>
      </c>
      <c r="D1320" s="195">
        <v>0</v>
      </c>
      <c r="E1320" s="195" t="s">
        <v>373</v>
      </c>
      <c r="F1320" s="71" t="s">
        <v>508</v>
      </c>
      <c r="G1320" s="71" t="s">
        <v>397</v>
      </c>
      <c r="H1320" s="71" t="s">
        <v>1671</v>
      </c>
      <c r="I1320" s="71" t="s">
        <v>1661</v>
      </c>
    </row>
    <row r="1321" spans="1:9" ht="43.5" x14ac:dyDescent="0.35">
      <c r="A1321" s="195">
        <v>8</v>
      </c>
      <c r="B1321" s="195">
        <v>108</v>
      </c>
      <c r="C1321" s="195" t="s">
        <v>1766</v>
      </c>
      <c r="D1321" s="64">
        <v>73005</v>
      </c>
      <c r="E1321" s="195" t="s">
        <v>366</v>
      </c>
      <c r="F1321" s="71" t="s">
        <v>508</v>
      </c>
      <c r="G1321" s="71" t="s">
        <v>406</v>
      </c>
      <c r="H1321" s="71" t="s">
        <v>1374</v>
      </c>
      <c r="I1321" s="71" t="s">
        <v>1653</v>
      </c>
    </row>
    <row r="1322" spans="1:9" ht="43.5" x14ac:dyDescent="0.35">
      <c r="A1322" s="195">
        <v>8</v>
      </c>
      <c r="B1322" s="195">
        <v>109</v>
      </c>
      <c r="C1322" s="195" t="s">
        <v>1767</v>
      </c>
      <c r="D1322" s="64">
        <v>60525</v>
      </c>
      <c r="E1322" s="195" t="s">
        <v>366</v>
      </c>
      <c r="F1322" s="71" t="s">
        <v>508</v>
      </c>
      <c r="G1322" s="71" t="s">
        <v>406</v>
      </c>
      <c r="H1322" s="71" t="s">
        <v>1657</v>
      </c>
      <c r="I1322" s="71" t="s">
        <v>1653</v>
      </c>
    </row>
    <row r="1323" spans="1:9" ht="43.5" x14ac:dyDescent="0.35">
      <c r="A1323" s="195">
        <v>8</v>
      </c>
      <c r="B1323" s="195">
        <v>110</v>
      </c>
      <c r="C1323" s="195" t="s">
        <v>1768</v>
      </c>
      <c r="D1323" s="195">
        <v>430</v>
      </c>
      <c r="E1323" s="195" t="s">
        <v>373</v>
      </c>
      <c r="F1323" s="71" t="s">
        <v>508</v>
      </c>
      <c r="G1323" s="71" t="s">
        <v>406</v>
      </c>
      <c r="H1323" s="71" t="s">
        <v>1657</v>
      </c>
      <c r="I1323" s="71" t="s">
        <v>1659</v>
      </c>
    </row>
    <row r="1324" spans="1:9" ht="43.5" x14ac:dyDescent="0.35">
      <c r="A1324" s="195">
        <v>8</v>
      </c>
      <c r="B1324" s="195">
        <v>111</v>
      </c>
      <c r="C1324" s="195" t="s">
        <v>1769</v>
      </c>
      <c r="D1324" s="64">
        <v>60095</v>
      </c>
      <c r="E1324" s="195" t="s">
        <v>373</v>
      </c>
      <c r="F1324" s="71" t="s">
        <v>508</v>
      </c>
      <c r="G1324" s="71" t="s">
        <v>406</v>
      </c>
      <c r="H1324" s="71" t="s">
        <v>1657</v>
      </c>
      <c r="I1324" s="71" t="s">
        <v>1661</v>
      </c>
    </row>
    <row r="1325" spans="1:9" ht="43.5" x14ac:dyDescent="0.35">
      <c r="A1325" s="195">
        <v>8</v>
      </c>
      <c r="B1325" s="195">
        <v>112</v>
      </c>
      <c r="C1325" s="195" t="s">
        <v>1770</v>
      </c>
      <c r="D1325" s="64">
        <v>11480</v>
      </c>
      <c r="E1325" s="195" t="s">
        <v>366</v>
      </c>
      <c r="F1325" s="71" t="s">
        <v>508</v>
      </c>
      <c r="G1325" s="71" t="s">
        <v>406</v>
      </c>
      <c r="H1325" s="71" t="s">
        <v>1663</v>
      </c>
      <c r="I1325" s="71" t="s">
        <v>1653</v>
      </c>
    </row>
    <row r="1326" spans="1:9" ht="43.5" x14ac:dyDescent="0.35">
      <c r="A1326" s="195">
        <v>8</v>
      </c>
      <c r="B1326" s="195">
        <v>113</v>
      </c>
      <c r="C1326" s="195" t="s">
        <v>1771</v>
      </c>
      <c r="D1326" s="195">
        <v>50</v>
      </c>
      <c r="E1326" s="195" t="s">
        <v>373</v>
      </c>
      <c r="F1326" s="71" t="s">
        <v>508</v>
      </c>
      <c r="G1326" s="71" t="s">
        <v>406</v>
      </c>
      <c r="H1326" s="71" t="s">
        <v>1663</v>
      </c>
      <c r="I1326" s="71" t="s">
        <v>1659</v>
      </c>
    </row>
    <row r="1327" spans="1:9" ht="43.5" x14ac:dyDescent="0.35">
      <c r="A1327" s="195">
        <v>8</v>
      </c>
      <c r="B1327" s="195">
        <v>114</v>
      </c>
      <c r="C1327" s="195" t="s">
        <v>1772</v>
      </c>
      <c r="D1327" s="64">
        <v>11430</v>
      </c>
      <c r="E1327" s="195" t="s">
        <v>373</v>
      </c>
      <c r="F1327" s="71" t="s">
        <v>508</v>
      </c>
      <c r="G1327" s="71" t="s">
        <v>406</v>
      </c>
      <c r="H1327" s="71" t="s">
        <v>1663</v>
      </c>
      <c r="I1327" s="71" t="s">
        <v>1661</v>
      </c>
    </row>
    <row r="1328" spans="1:9" ht="43.5" x14ac:dyDescent="0.35">
      <c r="A1328" s="195">
        <v>8</v>
      </c>
      <c r="B1328" s="195">
        <v>115</v>
      </c>
      <c r="C1328" s="195" t="s">
        <v>1773</v>
      </c>
      <c r="D1328" s="64">
        <v>1000</v>
      </c>
      <c r="E1328" s="195" t="s">
        <v>366</v>
      </c>
      <c r="F1328" s="71" t="s">
        <v>508</v>
      </c>
      <c r="G1328" s="71" t="s">
        <v>406</v>
      </c>
      <c r="H1328" s="71" t="s">
        <v>1667</v>
      </c>
      <c r="I1328" s="71" t="s">
        <v>1653</v>
      </c>
    </row>
    <row r="1329" spans="1:9" ht="43.5" x14ac:dyDescent="0.35">
      <c r="A1329" s="195">
        <v>8</v>
      </c>
      <c r="B1329" s="195">
        <v>116</v>
      </c>
      <c r="C1329" s="195" t="s">
        <v>1774</v>
      </c>
      <c r="D1329" s="195">
        <v>25</v>
      </c>
      <c r="E1329" s="195" t="s">
        <v>373</v>
      </c>
      <c r="F1329" s="71" t="s">
        <v>508</v>
      </c>
      <c r="G1329" s="71" t="s">
        <v>406</v>
      </c>
      <c r="H1329" s="71" t="s">
        <v>1667</v>
      </c>
      <c r="I1329" s="71" t="s">
        <v>1659</v>
      </c>
    </row>
    <row r="1330" spans="1:9" ht="43.5" x14ac:dyDescent="0.35">
      <c r="A1330" s="195">
        <v>8</v>
      </c>
      <c r="B1330" s="195">
        <v>117</v>
      </c>
      <c r="C1330" s="195" t="s">
        <v>1775</v>
      </c>
      <c r="D1330" s="195">
        <v>980</v>
      </c>
      <c r="E1330" s="195" t="s">
        <v>373</v>
      </c>
      <c r="F1330" s="71" t="s">
        <v>508</v>
      </c>
      <c r="G1330" s="71" t="s">
        <v>406</v>
      </c>
      <c r="H1330" s="71" t="s">
        <v>1667</v>
      </c>
      <c r="I1330" s="71" t="s">
        <v>1661</v>
      </c>
    </row>
    <row r="1331" spans="1:9" ht="43.5" x14ac:dyDescent="0.35">
      <c r="A1331" s="195">
        <v>8</v>
      </c>
      <c r="B1331" s="195">
        <v>118</v>
      </c>
      <c r="C1331" s="195" t="s">
        <v>1776</v>
      </c>
      <c r="D1331" s="195">
        <v>0</v>
      </c>
      <c r="E1331" s="195" t="s">
        <v>366</v>
      </c>
      <c r="F1331" s="71" t="s">
        <v>508</v>
      </c>
      <c r="G1331" s="71" t="s">
        <v>406</v>
      </c>
      <c r="H1331" s="71" t="s">
        <v>1671</v>
      </c>
      <c r="I1331" s="71" t="s">
        <v>1653</v>
      </c>
    </row>
    <row r="1332" spans="1:9" ht="43.5" x14ac:dyDescent="0.35">
      <c r="A1332" s="195">
        <v>8</v>
      </c>
      <c r="B1332" s="195">
        <v>119</v>
      </c>
      <c r="C1332" s="195" t="s">
        <v>1777</v>
      </c>
      <c r="D1332" s="195">
        <v>0</v>
      </c>
      <c r="E1332" s="195" t="s">
        <v>373</v>
      </c>
      <c r="F1332" s="71" t="s">
        <v>508</v>
      </c>
      <c r="G1332" s="71" t="s">
        <v>406</v>
      </c>
      <c r="H1332" s="71" t="s">
        <v>1671</v>
      </c>
      <c r="I1332" s="71" t="s">
        <v>1659</v>
      </c>
    </row>
    <row r="1333" spans="1:9" ht="43.5" x14ac:dyDescent="0.35">
      <c r="A1333" s="195">
        <v>8</v>
      </c>
      <c r="B1333" s="195">
        <v>120</v>
      </c>
      <c r="C1333" s="195" t="s">
        <v>1778</v>
      </c>
      <c r="D1333" s="195">
        <v>0</v>
      </c>
      <c r="E1333" s="195" t="s">
        <v>373</v>
      </c>
      <c r="F1333" s="71" t="s">
        <v>508</v>
      </c>
      <c r="G1333" s="71" t="s">
        <v>406</v>
      </c>
      <c r="H1333" s="71" t="s">
        <v>1671</v>
      </c>
      <c r="I1333" s="71" t="s">
        <v>1661</v>
      </c>
    </row>
    <row r="1334" spans="1:9" ht="29" x14ac:dyDescent="0.35">
      <c r="A1334" s="195">
        <v>8</v>
      </c>
      <c r="B1334" s="195">
        <v>121</v>
      </c>
      <c r="C1334" s="195" t="s">
        <v>1779</v>
      </c>
      <c r="D1334" s="64">
        <v>208925</v>
      </c>
      <c r="E1334" s="195" t="s">
        <v>366</v>
      </c>
      <c r="F1334" s="71" t="s">
        <v>508</v>
      </c>
      <c r="G1334" s="71" t="s">
        <v>415</v>
      </c>
      <c r="H1334" s="71" t="s">
        <v>1374</v>
      </c>
      <c r="I1334" s="71" t="s">
        <v>1653</v>
      </c>
    </row>
    <row r="1335" spans="1:9" ht="29" x14ac:dyDescent="0.35">
      <c r="A1335" s="195">
        <v>8</v>
      </c>
      <c r="B1335" s="195">
        <v>122</v>
      </c>
      <c r="C1335" s="195" t="s">
        <v>1780</v>
      </c>
      <c r="D1335" s="64">
        <v>198775</v>
      </c>
      <c r="E1335" s="195" t="s">
        <v>366</v>
      </c>
      <c r="F1335" s="71" t="s">
        <v>508</v>
      </c>
      <c r="G1335" s="71" t="s">
        <v>415</v>
      </c>
      <c r="H1335" s="71" t="s">
        <v>1657</v>
      </c>
      <c r="I1335" s="71" t="s">
        <v>1653</v>
      </c>
    </row>
    <row r="1336" spans="1:9" ht="43.5" x14ac:dyDescent="0.35">
      <c r="A1336" s="195">
        <v>8</v>
      </c>
      <c r="B1336" s="195">
        <v>123</v>
      </c>
      <c r="C1336" s="195" t="s">
        <v>1781</v>
      </c>
      <c r="D1336" s="64">
        <v>1635</v>
      </c>
      <c r="E1336" s="195" t="s">
        <v>373</v>
      </c>
      <c r="F1336" s="71" t="s">
        <v>508</v>
      </c>
      <c r="G1336" s="71" t="s">
        <v>415</v>
      </c>
      <c r="H1336" s="71" t="s">
        <v>1657</v>
      </c>
      <c r="I1336" s="71" t="s">
        <v>1659</v>
      </c>
    </row>
    <row r="1337" spans="1:9" ht="43.5" x14ac:dyDescent="0.35">
      <c r="A1337" s="195">
        <v>8</v>
      </c>
      <c r="B1337" s="195">
        <v>124</v>
      </c>
      <c r="C1337" s="195" t="s">
        <v>1782</v>
      </c>
      <c r="D1337" s="64">
        <v>197140</v>
      </c>
      <c r="E1337" s="195" t="s">
        <v>373</v>
      </c>
      <c r="F1337" s="71" t="s">
        <v>508</v>
      </c>
      <c r="G1337" s="71" t="s">
        <v>415</v>
      </c>
      <c r="H1337" s="71" t="s">
        <v>1657</v>
      </c>
      <c r="I1337" s="71" t="s">
        <v>1661</v>
      </c>
    </row>
    <row r="1338" spans="1:9" ht="29" x14ac:dyDescent="0.35">
      <c r="A1338" s="195">
        <v>8</v>
      </c>
      <c r="B1338" s="195">
        <v>125</v>
      </c>
      <c r="C1338" s="195" t="s">
        <v>1783</v>
      </c>
      <c r="D1338" s="64">
        <v>9590</v>
      </c>
      <c r="E1338" s="195" t="s">
        <v>366</v>
      </c>
      <c r="F1338" s="71" t="s">
        <v>508</v>
      </c>
      <c r="G1338" s="71" t="s">
        <v>415</v>
      </c>
      <c r="H1338" s="71" t="s">
        <v>1663</v>
      </c>
      <c r="I1338" s="71" t="s">
        <v>1653</v>
      </c>
    </row>
    <row r="1339" spans="1:9" ht="43.5" x14ac:dyDescent="0.35">
      <c r="A1339" s="195">
        <v>8</v>
      </c>
      <c r="B1339" s="195">
        <v>126</v>
      </c>
      <c r="C1339" s="195" t="s">
        <v>1784</v>
      </c>
      <c r="D1339" s="195">
        <v>45</v>
      </c>
      <c r="E1339" s="195" t="s">
        <v>373</v>
      </c>
      <c r="F1339" s="71" t="s">
        <v>508</v>
      </c>
      <c r="G1339" s="71" t="s">
        <v>415</v>
      </c>
      <c r="H1339" s="71" t="s">
        <v>1663</v>
      </c>
      <c r="I1339" s="71" t="s">
        <v>1659</v>
      </c>
    </row>
    <row r="1340" spans="1:9" ht="43.5" x14ac:dyDescent="0.35">
      <c r="A1340" s="195">
        <v>8</v>
      </c>
      <c r="B1340" s="195">
        <v>127</v>
      </c>
      <c r="C1340" s="195" t="s">
        <v>1785</v>
      </c>
      <c r="D1340" s="64">
        <v>9545</v>
      </c>
      <c r="E1340" s="195" t="s">
        <v>373</v>
      </c>
      <c r="F1340" s="71" t="s">
        <v>508</v>
      </c>
      <c r="G1340" s="71" t="s">
        <v>415</v>
      </c>
      <c r="H1340" s="71" t="s">
        <v>1663</v>
      </c>
      <c r="I1340" s="71" t="s">
        <v>1661</v>
      </c>
    </row>
    <row r="1341" spans="1:9" ht="29" x14ac:dyDescent="0.35">
      <c r="A1341" s="195">
        <v>8</v>
      </c>
      <c r="B1341" s="195">
        <v>128</v>
      </c>
      <c r="C1341" s="195" t="s">
        <v>1786</v>
      </c>
      <c r="D1341" s="195">
        <v>560</v>
      </c>
      <c r="E1341" s="195" t="s">
        <v>366</v>
      </c>
      <c r="F1341" s="71" t="s">
        <v>508</v>
      </c>
      <c r="G1341" s="71" t="s">
        <v>415</v>
      </c>
      <c r="H1341" s="71" t="s">
        <v>1667</v>
      </c>
      <c r="I1341" s="71" t="s">
        <v>1653</v>
      </c>
    </row>
    <row r="1342" spans="1:9" ht="43.5" x14ac:dyDescent="0.35">
      <c r="A1342" s="195">
        <v>8</v>
      </c>
      <c r="B1342" s="195">
        <v>129</v>
      </c>
      <c r="C1342" s="195" t="s">
        <v>1787</v>
      </c>
      <c r="D1342" s="195">
        <v>30</v>
      </c>
      <c r="E1342" s="195" t="s">
        <v>373</v>
      </c>
      <c r="F1342" s="71" t="s">
        <v>508</v>
      </c>
      <c r="G1342" s="71" t="s">
        <v>415</v>
      </c>
      <c r="H1342" s="71" t="s">
        <v>1667</v>
      </c>
      <c r="I1342" s="71" t="s">
        <v>1659</v>
      </c>
    </row>
    <row r="1343" spans="1:9" ht="43.5" x14ac:dyDescent="0.35">
      <c r="A1343" s="195">
        <v>8</v>
      </c>
      <c r="B1343" s="195">
        <v>130</v>
      </c>
      <c r="C1343" s="195" t="s">
        <v>1788</v>
      </c>
      <c r="D1343" s="195">
        <v>530</v>
      </c>
      <c r="E1343" s="195" t="s">
        <v>373</v>
      </c>
      <c r="F1343" s="71" t="s">
        <v>508</v>
      </c>
      <c r="G1343" s="71" t="s">
        <v>415</v>
      </c>
      <c r="H1343" s="71" t="s">
        <v>1667</v>
      </c>
      <c r="I1343" s="71" t="s">
        <v>1661</v>
      </c>
    </row>
    <row r="1344" spans="1:9" ht="29" x14ac:dyDescent="0.35">
      <c r="A1344" s="195">
        <v>8</v>
      </c>
      <c r="B1344" s="195">
        <v>131</v>
      </c>
      <c r="C1344" s="195" t="s">
        <v>1789</v>
      </c>
      <c r="D1344" s="195">
        <v>0</v>
      </c>
      <c r="E1344" s="195" t="s">
        <v>366</v>
      </c>
      <c r="F1344" s="71" t="s">
        <v>508</v>
      </c>
      <c r="G1344" s="71" t="s">
        <v>415</v>
      </c>
      <c r="H1344" s="71" t="s">
        <v>1671</v>
      </c>
      <c r="I1344" s="71" t="s">
        <v>1653</v>
      </c>
    </row>
    <row r="1345" spans="1:9" ht="43.5" x14ac:dyDescent="0.35">
      <c r="A1345" s="195">
        <v>8</v>
      </c>
      <c r="B1345" s="195">
        <v>132</v>
      </c>
      <c r="C1345" s="195" t="s">
        <v>1790</v>
      </c>
      <c r="D1345" s="195">
        <v>0</v>
      </c>
      <c r="E1345" s="195" t="s">
        <v>373</v>
      </c>
      <c r="F1345" s="71" t="s">
        <v>508</v>
      </c>
      <c r="G1345" s="71" t="s">
        <v>415</v>
      </c>
      <c r="H1345" s="71" t="s">
        <v>1671</v>
      </c>
      <c r="I1345" s="71" t="s">
        <v>1659</v>
      </c>
    </row>
    <row r="1346" spans="1:9" ht="43.5" x14ac:dyDescent="0.35">
      <c r="A1346" s="195">
        <v>8</v>
      </c>
      <c r="B1346" s="195">
        <v>133</v>
      </c>
      <c r="C1346" s="195" t="s">
        <v>1791</v>
      </c>
      <c r="D1346" s="195">
        <v>0</v>
      </c>
      <c r="E1346" s="195" t="s">
        <v>373</v>
      </c>
      <c r="F1346" s="71" t="s">
        <v>508</v>
      </c>
      <c r="G1346" s="71" t="s">
        <v>415</v>
      </c>
      <c r="H1346" s="71" t="s">
        <v>1671</v>
      </c>
      <c r="I1346" s="71" t="s">
        <v>1661</v>
      </c>
    </row>
    <row r="1347" spans="1:9" ht="29" x14ac:dyDescent="0.35">
      <c r="A1347" s="195">
        <v>9</v>
      </c>
      <c r="B1347" s="195">
        <v>1</v>
      </c>
      <c r="C1347" s="195" t="s">
        <v>1792</v>
      </c>
      <c r="D1347" s="64">
        <v>1951605</v>
      </c>
      <c r="E1347" s="195" t="s">
        <v>26</v>
      </c>
      <c r="F1347" s="71" t="s">
        <v>361</v>
      </c>
      <c r="G1347" s="71" t="s">
        <v>364</v>
      </c>
      <c r="H1347" s="71" t="s">
        <v>1374</v>
      </c>
    </row>
    <row r="1348" spans="1:9" x14ac:dyDescent="0.35">
      <c r="A1348" s="195">
        <v>9</v>
      </c>
      <c r="B1348" s="195">
        <v>2</v>
      </c>
      <c r="C1348" s="195" t="s">
        <v>1793</v>
      </c>
      <c r="D1348" s="64">
        <v>1105170</v>
      </c>
      <c r="E1348" s="195" t="s">
        <v>366</v>
      </c>
      <c r="F1348" s="71" t="s">
        <v>367</v>
      </c>
      <c r="G1348" s="71" t="s">
        <v>364</v>
      </c>
      <c r="H1348" s="71" t="s">
        <v>1374</v>
      </c>
    </row>
    <row r="1349" spans="1:9" ht="29" x14ac:dyDescent="0.35">
      <c r="A1349" s="195">
        <v>9</v>
      </c>
      <c r="B1349" s="195">
        <v>3</v>
      </c>
      <c r="C1349" s="195" t="s">
        <v>1794</v>
      </c>
      <c r="D1349" s="64">
        <v>675900</v>
      </c>
      <c r="E1349" s="195" t="s">
        <v>366</v>
      </c>
      <c r="F1349" s="71" t="s">
        <v>367</v>
      </c>
      <c r="G1349" s="71" t="s">
        <v>374</v>
      </c>
      <c r="H1349" s="71" t="s">
        <v>1374</v>
      </c>
    </row>
    <row r="1350" spans="1:9" ht="29" x14ac:dyDescent="0.35">
      <c r="A1350" s="195">
        <v>9</v>
      </c>
      <c r="B1350" s="195">
        <v>4</v>
      </c>
      <c r="C1350" s="195" t="s">
        <v>1795</v>
      </c>
      <c r="D1350" s="64">
        <v>483705</v>
      </c>
      <c r="E1350" s="195" t="s">
        <v>373</v>
      </c>
      <c r="F1350" s="71" t="s">
        <v>367</v>
      </c>
      <c r="G1350" s="71" t="s">
        <v>374</v>
      </c>
      <c r="H1350" s="71" t="s">
        <v>1657</v>
      </c>
    </row>
    <row r="1351" spans="1:9" ht="29" x14ac:dyDescent="0.35">
      <c r="A1351" s="195">
        <v>9</v>
      </c>
      <c r="B1351" s="195">
        <v>5</v>
      </c>
      <c r="C1351" s="195" t="s">
        <v>1796</v>
      </c>
      <c r="D1351" s="64">
        <v>105110</v>
      </c>
      <c r="E1351" s="195" t="s">
        <v>373</v>
      </c>
      <c r="F1351" s="71" t="s">
        <v>367</v>
      </c>
      <c r="G1351" s="71" t="s">
        <v>374</v>
      </c>
      <c r="H1351" s="71" t="s">
        <v>1663</v>
      </c>
    </row>
    <row r="1352" spans="1:9" ht="29" x14ac:dyDescent="0.35">
      <c r="A1352" s="195">
        <v>9</v>
      </c>
      <c r="B1352" s="195">
        <v>6</v>
      </c>
      <c r="C1352" s="195" t="s">
        <v>1797</v>
      </c>
      <c r="D1352" s="64">
        <v>81490</v>
      </c>
      <c r="E1352" s="195" t="s">
        <v>373</v>
      </c>
      <c r="F1352" s="71" t="s">
        <v>367</v>
      </c>
      <c r="G1352" s="71" t="s">
        <v>374</v>
      </c>
      <c r="H1352" s="71" t="s">
        <v>1667</v>
      </c>
    </row>
    <row r="1353" spans="1:9" ht="29" x14ac:dyDescent="0.35">
      <c r="A1353" s="195">
        <v>9</v>
      </c>
      <c r="B1353" s="195">
        <v>7</v>
      </c>
      <c r="C1353" s="195" t="s">
        <v>1798</v>
      </c>
      <c r="D1353" s="64">
        <v>5590</v>
      </c>
      <c r="E1353" s="195" t="s">
        <v>373</v>
      </c>
      <c r="F1353" s="71" t="s">
        <v>367</v>
      </c>
      <c r="G1353" s="71" t="s">
        <v>374</v>
      </c>
      <c r="H1353" s="71" t="s">
        <v>1671</v>
      </c>
    </row>
    <row r="1354" spans="1:9" ht="29" x14ac:dyDescent="0.35">
      <c r="A1354" s="195">
        <v>9</v>
      </c>
      <c r="B1354" s="195">
        <v>8</v>
      </c>
      <c r="C1354" s="195" t="s">
        <v>1799</v>
      </c>
      <c r="D1354" s="64">
        <v>184220</v>
      </c>
      <c r="E1354" s="195" t="s">
        <v>366</v>
      </c>
      <c r="F1354" s="71" t="s">
        <v>367</v>
      </c>
      <c r="G1354" s="71" t="s">
        <v>376</v>
      </c>
      <c r="H1354" s="71" t="s">
        <v>1374</v>
      </c>
    </row>
    <row r="1355" spans="1:9" ht="29" x14ac:dyDescent="0.35">
      <c r="A1355" s="195">
        <v>9</v>
      </c>
      <c r="B1355" s="195">
        <v>9</v>
      </c>
      <c r="C1355" s="195" t="s">
        <v>1800</v>
      </c>
      <c r="D1355" s="64">
        <v>112870</v>
      </c>
      <c r="E1355" s="195" t="s">
        <v>373</v>
      </c>
      <c r="F1355" s="71" t="s">
        <v>367</v>
      </c>
      <c r="G1355" s="71" t="s">
        <v>376</v>
      </c>
      <c r="H1355" s="71" t="s">
        <v>1657</v>
      </c>
    </row>
    <row r="1356" spans="1:9" ht="29" x14ac:dyDescent="0.35">
      <c r="A1356" s="195">
        <v>9</v>
      </c>
      <c r="B1356" s="195">
        <v>10</v>
      </c>
      <c r="C1356" s="195" t="s">
        <v>1801</v>
      </c>
      <c r="D1356" s="64">
        <v>34630</v>
      </c>
      <c r="E1356" s="195" t="s">
        <v>373</v>
      </c>
      <c r="F1356" s="71" t="s">
        <v>367</v>
      </c>
      <c r="G1356" s="71" t="s">
        <v>376</v>
      </c>
      <c r="H1356" s="71" t="s">
        <v>1663</v>
      </c>
    </row>
    <row r="1357" spans="1:9" ht="29" x14ac:dyDescent="0.35">
      <c r="A1357" s="195">
        <v>9</v>
      </c>
      <c r="B1357" s="195">
        <v>11</v>
      </c>
      <c r="C1357" s="195" t="s">
        <v>1802</v>
      </c>
      <c r="D1357" s="64">
        <v>34035</v>
      </c>
      <c r="E1357" s="195" t="s">
        <v>373</v>
      </c>
      <c r="F1357" s="71" t="s">
        <v>367</v>
      </c>
      <c r="G1357" s="71" t="s">
        <v>376</v>
      </c>
      <c r="H1357" s="71" t="s">
        <v>1667</v>
      </c>
    </row>
    <row r="1358" spans="1:9" ht="29" x14ac:dyDescent="0.35">
      <c r="A1358" s="195">
        <v>9</v>
      </c>
      <c r="B1358" s="195">
        <v>12</v>
      </c>
      <c r="C1358" s="195" t="s">
        <v>1803</v>
      </c>
      <c r="D1358" s="64">
        <v>2685</v>
      </c>
      <c r="E1358" s="195" t="s">
        <v>373</v>
      </c>
      <c r="F1358" s="71" t="s">
        <v>367</v>
      </c>
      <c r="G1358" s="71" t="s">
        <v>376</v>
      </c>
      <c r="H1358" s="71" t="s">
        <v>1671</v>
      </c>
    </row>
    <row r="1359" spans="1:9" ht="29" x14ac:dyDescent="0.35">
      <c r="A1359" s="195">
        <v>9</v>
      </c>
      <c r="B1359" s="195">
        <v>13</v>
      </c>
      <c r="C1359" s="195" t="s">
        <v>1804</v>
      </c>
      <c r="D1359" s="64">
        <v>66515</v>
      </c>
      <c r="E1359" s="195" t="s">
        <v>366</v>
      </c>
      <c r="F1359" s="71" t="s">
        <v>367</v>
      </c>
      <c r="G1359" s="71" t="s">
        <v>378</v>
      </c>
      <c r="H1359" s="71" t="s">
        <v>1374</v>
      </c>
    </row>
    <row r="1360" spans="1:9" ht="29" x14ac:dyDescent="0.35">
      <c r="A1360" s="195">
        <v>9</v>
      </c>
      <c r="B1360" s="195">
        <v>14</v>
      </c>
      <c r="C1360" s="195" t="s">
        <v>1805</v>
      </c>
      <c r="D1360" s="64">
        <v>44560</v>
      </c>
      <c r="E1360" s="195" t="s">
        <v>373</v>
      </c>
      <c r="F1360" s="71" t="s">
        <v>367</v>
      </c>
      <c r="G1360" s="71" t="s">
        <v>378</v>
      </c>
      <c r="H1360" s="71" t="s">
        <v>1657</v>
      </c>
    </row>
    <row r="1361" spans="1:8" ht="29" x14ac:dyDescent="0.35">
      <c r="A1361" s="195">
        <v>9</v>
      </c>
      <c r="B1361" s="195">
        <v>15</v>
      </c>
      <c r="C1361" s="195" t="s">
        <v>1806</v>
      </c>
      <c r="D1361" s="64">
        <v>12100</v>
      </c>
      <c r="E1361" s="195" t="s">
        <v>373</v>
      </c>
      <c r="F1361" s="71" t="s">
        <v>367</v>
      </c>
      <c r="G1361" s="71" t="s">
        <v>378</v>
      </c>
      <c r="H1361" s="71" t="s">
        <v>1663</v>
      </c>
    </row>
    <row r="1362" spans="1:8" ht="29" x14ac:dyDescent="0.35">
      <c r="A1362" s="195">
        <v>9</v>
      </c>
      <c r="B1362" s="195">
        <v>16</v>
      </c>
      <c r="C1362" s="195" t="s">
        <v>1807</v>
      </c>
      <c r="D1362" s="64">
        <v>9035</v>
      </c>
      <c r="E1362" s="195" t="s">
        <v>373</v>
      </c>
      <c r="F1362" s="71" t="s">
        <v>367</v>
      </c>
      <c r="G1362" s="71" t="s">
        <v>378</v>
      </c>
      <c r="H1362" s="71" t="s">
        <v>1667</v>
      </c>
    </row>
    <row r="1363" spans="1:8" ht="29" x14ac:dyDescent="0.35">
      <c r="A1363" s="195">
        <v>9</v>
      </c>
      <c r="B1363" s="195">
        <v>17</v>
      </c>
      <c r="C1363" s="195" t="s">
        <v>1808</v>
      </c>
      <c r="D1363" s="195">
        <v>820</v>
      </c>
      <c r="E1363" s="195" t="s">
        <v>373</v>
      </c>
      <c r="F1363" s="71" t="s">
        <v>367</v>
      </c>
      <c r="G1363" s="71" t="s">
        <v>378</v>
      </c>
      <c r="H1363" s="71" t="s">
        <v>1671</v>
      </c>
    </row>
    <row r="1364" spans="1:8" ht="29" x14ac:dyDescent="0.35">
      <c r="A1364" s="195">
        <v>9</v>
      </c>
      <c r="B1364" s="195">
        <v>18</v>
      </c>
      <c r="C1364" s="195" t="s">
        <v>1809</v>
      </c>
      <c r="D1364" s="64">
        <v>1115</v>
      </c>
      <c r="E1364" s="195" t="s">
        <v>366</v>
      </c>
      <c r="F1364" s="71" t="s">
        <v>367</v>
      </c>
      <c r="G1364" s="71" t="s">
        <v>380</v>
      </c>
      <c r="H1364" s="71" t="s">
        <v>1374</v>
      </c>
    </row>
    <row r="1365" spans="1:8" ht="29" x14ac:dyDescent="0.35">
      <c r="A1365" s="195">
        <v>9</v>
      </c>
      <c r="B1365" s="195">
        <v>19</v>
      </c>
      <c r="C1365" s="195" t="s">
        <v>1810</v>
      </c>
      <c r="D1365" s="195">
        <v>695</v>
      </c>
      <c r="E1365" s="195" t="s">
        <v>373</v>
      </c>
      <c r="F1365" s="71" t="s">
        <v>367</v>
      </c>
      <c r="G1365" s="71" t="s">
        <v>380</v>
      </c>
      <c r="H1365" s="71" t="s">
        <v>1657</v>
      </c>
    </row>
    <row r="1366" spans="1:8" ht="29" x14ac:dyDescent="0.35">
      <c r="A1366" s="195">
        <v>9</v>
      </c>
      <c r="B1366" s="195">
        <v>20</v>
      </c>
      <c r="C1366" s="195" t="s">
        <v>1811</v>
      </c>
      <c r="D1366" s="195">
        <v>215</v>
      </c>
      <c r="E1366" s="195" t="s">
        <v>373</v>
      </c>
      <c r="F1366" s="71" t="s">
        <v>367</v>
      </c>
      <c r="G1366" s="71" t="s">
        <v>380</v>
      </c>
      <c r="H1366" s="71" t="s">
        <v>1663</v>
      </c>
    </row>
    <row r="1367" spans="1:8" ht="29" x14ac:dyDescent="0.35">
      <c r="A1367" s="195">
        <v>9</v>
      </c>
      <c r="B1367" s="195">
        <v>21</v>
      </c>
      <c r="C1367" s="195" t="s">
        <v>1812</v>
      </c>
      <c r="D1367" s="195">
        <v>150</v>
      </c>
      <c r="E1367" s="195" t="s">
        <v>373</v>
      </c>
      <c r="F1367" s="71" t="s">
        <v>367</v>
      </c>
      <c r="G1367" s="71" t="s">
        <v>380</v>
      </c>
      <c r="H1367" s="71" t="s">
        <v>1667</v>
      </c>
    </row>
    <row r="1368" spans="1:8" ht="29" x14ac:dyDescent="0.35">
      <c r="A1368" s="195">
        <v>9</v>
      </c>
      <c r="B1368" s="195">
        <v>22</v>
      </c>
      <c r="C1368" s="195" t="s">
        <v>1813</v>
      </c>
      <c r="D1368" s="195">
        <v>60</v>
      </c>
      <c r="E1368" s="195" t="s">
        <v>373</v>
      </c>
      <c r="F1368" s="71" t="s">
        <v>367</v>
      </c>
      <c r="G1368" s="71" t="s">
        <v>380</v>
      </c>
      <c r="H1368" s="71" t="s">
        <v>1671</v>
      </c>
    </row>
    <row r="1369" spans="1:8" ht="29" x14ac:dyDescent="0.35">
      <c r="A1369" s="195">
        <v>9</v>
      </c>
      <c r="B1369" s="195">
        <v>23</v>
      </c>
      <c r="C1369" s="195" t="s">
        <v>1814</v>
      </c>
      <c r="D1369" s="195">
        <v>185</v>
      </c>
      <c r="E1369" s="195" t="s">
        <v>366</v>
      </c>
      <c r="F1369" s="71" t="s">
        <v>367</v>
      </c>
      <c r="G1369" s="71" t="s">
        <v>382</v>
      </c>
      <c r="H1369" s="71" t="s">
        <v>1374</v>
      </c>
    </row>
    <row r="1370" spans="1:8" ht="29" x14ac:dyDescent="0.35">
      <c r="A1370" s="195">
        <v>9</v>
      </c>
      <c r="B1370" s="195">
        <v>24</v>
      </c>
      <c r="C1370" s="195" t="s">
        <v>1815</v>
      </c>
      <c r="D1370" s="195">
        <v>155</v>
      </c>
      <c r="E1370" s="195" t="s">
        <v>373</v>
      </c>
      <c r="F1370" s="71" t="s">
        <v>367</v>
      </c>
      <c r="G1370" s="71" t="s">
        <v>382</v>
      </c>
      <c r="H1370" s="71" t="s">
        <v>1657</v>
      </c>
    </row>
    <row r="1371" spans="1:8" ht="29" x14ac:dyDescent="0.35">
      <c r="A1371" s="195">
        <v>9</v>
      </c>
      <c r="B1371" s="195">
        <v>25</v>
      </c>
      <c r="C1371" s="195" t="s">
        <v>1816</v>
      </c>
      <c r="D1371" s="195">
        <v>20</v>
      </c>
      <c r="E1371" s="195" t="s">
        <v>373</v>
      </c>
      <c r="F1371" s="71" t="s">
        <v>367</v>
      </c>
      <c r="G1371" s="71" t="s">
        <v>382</v>
      </c>
      <c r="H1371" s="71" t="s">
        <v>1663</v>
      </c>
    </row>
    <row r="1372" spans="1:8" ht="29" x14ac:dyDescent="0.35">
      <c r="A1372" s="195">
        <v>9</v>
      </c>
      <c r="B1372" s="195">
        <v>26</v>
      </c>
      <c r="C1372" s="195" t="s">
        <v>1817</v>
      </c>
      <c r="D1372" s="195">
        <v>10</v>
      </c>
      <c r="E1372" s="195" t="s">
        <v>373</v>
      </c>
      <c r="F1372" s="71" t="s">
        <v>367</v>
      </c>
      <c r="G1372" s="71" t="s">
        <v>382</v>
      </c>
      <c r="H1372" s="71" t="s">
        <v>1667</v>
      </c>
    </row>
    <row r="1373" spans="1:8" ht="29" x14ac:dyDescent="0.35">
      <c r="A1373" s="195">
        <v>9</v>
      </c>
      <c r="B1373" s="195">
        <v>27</v>
      </c>
      <c r="C1373" s="195" t="s">
        <v>1818</v>
      </c>
      <c r="D1373" s="195">
        <v>0</v>
      </c>
      <c r="E1373" s="195" t="s">
        <v>373</v>
      </c>
      <c r="F1373" s="71" t="s">
        <v>367</v>
      </c>
      <c r="G1373" s="71" t="s">
        <v>382</v>
      </c>
      <c r="H1373" s="71" t="s">
        <v>1671</v>
      </c>
    </row>
    <row r="1374" spans="1:8" x14ac:dyDescent="0.35">
      <c r="A1374" s="195">
        <v>9</v>
      </c>
      <c r="B1374" s="195">
        <v>28</v>
      </c>
      <c r="C1374" s="195" t="s">
        <v>1819</v>
      </c>
      <c r="D1374" s="64">
        <v>166595</v>
      </c>
      <c r="E1374" s="195" t="s">
        <v>366</v>
      </c>
      <c r="F1374" s="71" t="s">
        <v>367</v>
      </c>
      <c r="G1374" s="71" t="s">
        <v>384</v>
      </c>
      <c r="H1374" s="71" t="s">
        <v>1374</v>
      </c>
    </row>
    <row r="1375" spans="1:8" ht="29" x14ac:dyDescent="0.35">
      <c r="A1375" s="195">
        <v>9</v>
      </c>
      <c r="B1375" s="195">
        <v>29</v>
      </c>
      <c r="C1375" s="195" t="s">
        <v>1820</v>
      </c>
      <c r="D1375" s="64">
        <v>100660</v>
      </c>
      <c r="E1375" s="195" t="s">
        <v>373</v>
      </c>
      <c r="F1375" s="71" t="s">
        <v>367</v>
      </c>
      <c r="G1375" s="71" t="s">
        <v>384</v>
      </c>
      <c r="H1375" s="71" t="s">
        <v>1657</v>
      </c>
    </row>
    <row r="1376" spans="1:8" ht="29" x14ac:dyDescent="0.35">
      <c r="A1376" s="195">
        <v>9</v>
      </c>
      <c r="B1376" s="195">
        <v>30</v>
      </c>
      <c r="C1376" s="195" t="s">
        <v>1821</v>
      </c>
      <c r="D1376" s="64">
        <v>35700</v>
      </c>
      <c r="E1376" s="195" t="s">
        <v>373</v>
      </c>
      <c r="F1376" s="71" t="s">
        <v>367</v>
      </c>
      <c r="G1376" s="71" t="s">
        <v>384</v>
      </c>
      <c r="H1376" s="71" t="s">
        <v>1663</v>
      </c>
    </row>
    <row r="1377" spans="1:8" x14ac:dyDescent="0.35">
      <c r="A1377" s="195">
        <v>9</v>
      </c>
      <c r="B1377" s="195">
        <v>31</v>
      </c>
      <c r="C1377" s="195" t="s">
        <v>1822</v>
      </c>
      <c r="D1377" s="64">
        <v>29175</v>
      </c>
      <c r="E1377" s="195" t="s">
        <v>373</v>
      </c>
      <c r="F1377" s="71" t="s">
        <v>367</v>
      </c>
      <c r="G1377" s="71" t="s">
        <v>384</v>
      </c>
      <c r="H1377" s="71" t="s">
        <v>1667</v>
      </c>
    </row>
    <row r="1378" spans="1:8" ht="29" x14ac:dyDescent="0.35">
      <c r="A1378" s="195">
        <v>9</v>
      </c>
      <c r="B1378" s="195">
        <v>32</v>
      </c>
      <c r="C1378" s="195" t="s">
        <v>1823</v>
      </c>
      <c r="D1378" s="64">
        <v>1060</v>
      </c>
      <c r="E1378" s="195" t="s">
        <v>373</v>
      </c>
      <c r="F1378" s="71" t="s">
        <v>367</v>
      </c>
      <c r="G1378" s="71" t="s">
        <v>384</v>
      </c>
      <c r="H1378" s="71" t="s">
        <v>1671</v>
      </c>
    </row>
    <row r="1379" spans="1:8" ht="29" x14ac:dyDescent="0.35">
      <c r="A1379" s="195">
        <v>9</v>
      </c>
      <c r="B1379" s="195">
        <v>33</v>
      </c>
      <c r="C1379" s="195" t="s">
        <v>1824</v>
      </c>
      <c r="D1379" s="64">
        <v>10640</v>
      </c>
      <c r="E1379" s="195" t="s">
        <v>366</v>
      </c>
      <c r="F1379" s="71" t="s">
        <v>367</v>
      </c>
      <c r="G1379" s="71" t="s">
        <v>386</v>
      </c>
      <c r="H1379" s="71" t="s">
        <v>1374</v>
      </c>
    </row>
    <row r="1380" spans="1:8" ht="29" x14ac:dyDescent="0.35">
      <c r="A1380" s="195">
        <v>9</v>
      </c>
      <c r="B1380" s="195">
        <v>34</v>
      </c>
      <c r="C1380" s="195" t="s">
        <v>1825</v>
      </c>
      <c r="D1380" s="64">
        <v>7635</v>
      </c>
      <c r="E1380" s="195" t="s">
        <v>373</v>
      </c>
      <c r="F1380" s="71" t="s">
        <v>367</v>
      </c>
      <c r="G1380" s="71" t="s">
        <v>386</v>
      </c>
      <c r="H1380" s="71" t="s">
        <v>1657</v>
      </c>
    </row>
    <row r="1381" spans="1:8" ht="29" x14ac:dyDescent="0.35">
      <c r="A1381" s="195">
        <v>9</v>
      </c>
      <c r="B1381" s="195">
        <v>35</v>
      </c>
      <c r="C1381" s="195" t="s">
        <v>1826</v>
      </c>
      <c r="D1381" s="64">
        <v>1585</v>
      </c>
      <c r="E1381" s="195" t="s">
        <v>373</v>
      </c>
      <c r="F1381" s="71" t="s">
        <v>367</v>
      </c>
      <c r="G1381" s="71" t="s">
        <v>386</v>
      </c>
      <c r="H1381" s="71" t="s">
        <v>1663</v>
      </c>
    </row>
    <row r="1382" spans="1:8" ht="29" x14ac:dyDescent="0.35">
      <c r="A1382" s="195">
        <v>9</v>
      </c>
      <c r="B1382" s="195">
        <v>36</v>
      </c>
      <c r="C1382" s="195" t="s">
        <v>1827</v>
      </c>
      <c r="D1382" s="64">
        <v>1315</v>
      </c>
      <c r="E1382" s="195" t="s">
        <v>373</v>
      </c>
      <c r="F1382" s="71" t="s">
        <v>367</v>
      </c>
      <c r="G1382" s="71" t="s">
        <v>386</v>
      </c>
      <c r="H1382" s="71" t="s">
        <v>1667</v>
      </c>
    </row>
    <row r="1383" spans="1:8" ht="29" x14ac:dyDescent="0.35">
      <c r="A1383" s="195">
        <v>9</v>
      </c>
      <c r="B1383" s="195">
        <v>37</v>
      </c>
      <c r="C1383" s="195" t="s">
        <v>1828</v>
      </c>
      <c r="D1383" s="195">
        <v>100</v>
      </c>
      <c r="E1383" s="195" t="s">
        <v>373</v>
      </c>
      <c r="F1383" s="71" t="s">
        <v>367</v>
      </c>
      <c r="G1383" s="71" t="s">
        <v>386</v>
      </c>
      <c r="H1383" s="71" t="s">
        <v>1671</v>
      </c>
    </row>
    <row r="1384" spans="1:8" x14ac:dyDescent="0.35">
      <c r="A1384" s="195">
        <v>9</v>
      </c>
      <c r="B1384" s="195">
        <v>38</v>
      </c>
      <c r="C1384" s="195" t="s">
        <v>1829</v>
      </c>
      <c r="D1384" s="64">
        <v>846440</v>
      </c>
      <c r="E1384" s="195" t="s">
        <v>366</v>
      </c>
      <c r="F1384" s="71" t="s">
        <v>508</v>
      </c>
      <c r="G1384" s="71" t="s">
        <v>364</v>
      </c>
      <c r="H1384" s="71" t="s">
        <v>1374</v>
      </c>
    </row>
    <row r="1385" spans="1:8" ht="29" x14ac:dyDescent="0.35">
      <c r="A1385" s="195">
        <v>9</v>
      </c>
      <c r="B1385" s="195">
        <v>39</v>
      </c>
      <c r="C1385" s="195" t="s">
        <v>1830</v>
      </c>
      <c r="D1385" s="64">
        <v>318330</v>
      </c>
      <c r="E1385" s="195" t="s">
        <v>366</v>
      </c>
      <c r="F1385" s="71" t="s">
        <v>508</v>
      </c>
      <c r="G1385" s="71" t="s">
        <v>374</v>
      </c>
      <c r="H1385" s="71" t="s">
        <v>1374</v>
      </c>
    </row>
    <row r="1386" spans="1:8" ht="29" x14ac:dyDescent="0.35">
      <c r="A1386" s="195">
        <v>9</v>
      </c>
      <c r="B1386" s="195">
        <v>40</v>
      </c>
      <c r="C1386" s="195" t="s">
        <v>1831</v>
      </c>
      <c r="D1386" s="64">
        <v>186575</v>
      </c>
      <c r="E1386" s="195" t="s">
        <v>373</v>
      </c>
      <c r="F1386" s="71" t="s">
        <v>508</v>
      </c>
      <c r="G1386" s="71" t="s">
        <v>374</v>
      </c>
      <c r="H1386" s="71" t="s">
        <v>1657</v>
      </c>
    </row>
    <row r="1387" spans="1:8" ht="29" x14ac:dyDescent="0.35">
      <c r="A1387" s="195">
        <v>9</v>
      </c>
      <c r="B1387" s="195">
        <v>41</v>
      </c>
      <c r="C1387" s="195" t="s">
        <v>1832</v>
      </c>
      <c r="D1387" s="64">
        <v>61425</v>
      </c>
      <c r="E1387" s="195" t="s">
        <v>373</v>
      </c>
      <c r="F1387" s="71" t="s">
        <v>508</v>
      </c>
      <c r="G1387" s="71" t="s">
        <v>374</v>
      </c>
      <c r="H1387" s="71" t="s">
        <v>1663</v>
      </c>
    </row>
    <row r="1388" spans="1:8" ht="29" x14ac:dyDescent="0.35">
      <c r="A1388" s="195">
        <v>9</v>
      </c>
      <c r="B1388" s="195">
        <v>42</v>
      </c>
      <c r="C1388" s="195" t="s">
        <v>1833</v>
      </c>
      <c r="D1388" s="64">
        <v>63145</v>
      </c>
      <c r="E1388" s="195" t="s">
        <v>373</v>
      </c>
      <c r="F1388" s="71" t="s">
        <v>508</v>
      </c>
      <c r="G1388" s="71" t="s">
        <v>374</v>
      </c>
      <c r="H1388" s="71" t="s">
        <v>1667</v>
      </c>
    </row>
    <row r="1389" spans="1:8" ht="29" x14ac:dyDescent="0.35">
      <c r="A1389" s="195">
        <v>9</v>
      </c>
      <c r="B1389" s="195">
        <v>43</v>
      </c>
      <c r="C1389" s="195" t="s">
        <v>1834</v>
      </c>
      <c r="D1389" s="64">
        <v>7185</v>
      </c>
      <c r="E1389" s="195" t="s">
        <v>373</v>
      </c>
      <c r="F1389" s="71" t="s">
        <v>508</v>
      </c>
      <c r="G1389" s="71" t="s">
        <v>374</v>
      </c>
      <c r="H1389" s="71" t="s">
        <v>1671</v>
      </c>
    </row>
    <row r="1390" spans="1:8" ht="29" x14ac:dyDescent="0.35">
      <c r="A1390" s="195">
        <v>9</v>
      </c>
      <c r="B1390" s="195">
        <v>44</v>
      </c>
      <c r="C1390" s="195" t="s">
        <v>1835</v>
      </c>
      <c r="D1390" s="64">
        <v>278485</v>
      </c>
      <c r="E1390" s="195" t="s">
        <v>366</v>
      </c>
      <c r="F1390" s="71" t="s">
        <v>508</v>
      </c>
      <c r="G1390" s="71" t="s">
        <v>376</v>
      </c>
      <c r="H1390" s="71" t="s">
        <v>1374</v>
      </c>
    </row>
    <row r="1391" spans="1:8" ht="29" x14ac:dyDescent="0.35">
      <c r="A1391" s="195">
        <v>9</v>
      </c>
      <c r="B1391" s="195">
        <v>45</v>
      </c>
      <c r="C1391" s="195" t="s">
        <v>1836</v>
      </c>
      <c r="D1391" s="64">
        <v>110835</v>
      </c>
      <c r="E1391" s="195" t="s">
        <v>373</v>
      </c>
      <c r="F1391" s="71" t="s">
        <v>508</v>
      </c>
      <c r="G1391" s="71" t="s">
        <v>376</v>
      </c>
      <c r="H1391" s="71" t="s">
        <v>1657</v>
      </c>
    </row>
    <row r="1392" spans="1:8" ht="29" x14ac:dyDescent="0.35">
      <c r="A1392" s="195">
        <v>9</v>
      </c>
      <c r="B1392" s="195">
        <v>46</v>
      </c>
      <c r="C1392" s="195" t="s">
        <v>1837</v>
      </c>
      <c r="D1392" s="64">
        <v>58460</v>
      </c>
      <c r="E1392" s="195" t="s">
        <v>373</v>
      </c>
      <c r="F1392" s="71" t="s">
        <v>508</v>
      </c>
      <c r="G1392" s="71" t="s">
        <v>376</v>
      </c>
      <c r="H1392" s="71" t="s">
        <v>1663</v>
      </c>
    </row>
    <row r="1393" spans="1:8" ht="29" x14ac:dyDescent="0.35">
      <c r="A1393" s="195">
        <v>9</v>
      </c>
      <c r="B1393" s="195">
        <v>47</v>
      </c>
      <c r="C1393" s="195" t="s">
        <v>1838</v>
      </c>
      <c r="D1393" s="64">
        <v>91980</v>
      </c>
      <c r="E1393" s="195" t="s">
        <v>373</v>
      </c>
      <c r="F1393" s="71" t="s">
        <v>508</v>
      </c>
      <c r="G1393" s="71" t="s">
        <v>376</v>
      </c>
      <c r="H1393" s="71" t="s">
        <v>1667</v>
      </c>
    </row>
    <row r="1394" spans="1:8" ht="29" x14ac:dyDescent="0.35">
      <c r="A1394" s="195">
        <v>9</v>
      </c>
      <c r="B1394" s="195">
        <v>48</v>
      </c>
      <c r="C1394" s="195" t="s">
        <v>1839</v>
      </c>
      <c r="D1394" s="64">
        <v>17215</v>
      </c>
      <c r="E1394" s="195" t="s">
        <v>373</v>
      </c>
      <c r="F1394" s="71" t="s">
        <v>508</v>
      </c>
      <c r="G1394" s="71" t="s">
        <v>376</v>
      </c>
      <c r="H1394" s="71" t="s">
        <v>1671</v>
      </c>
    </row>
    <row r="1395" spans="1:8" ht="29" x14ac:dyDescent="0.35">
      <c r="A1395" s="195">
        <v>9</v>
      </c>
      <c r="B1395" s="195">
        <v>49</v>
      </c>
      <c r="C1395" s="195" t="s">
        <v>1840</v>
      </c>
      <c r="D1395" s="64">
        <v>56120</v>
      </c>
      <c r="E1395" s="195" t="s">
        <v>366</v>
      </c>
      <c r="F1395" s="71" t="s">
        <v>508</v>
      </c>
      <c r="G1395" s="71" t="s">
        <v>378</v>
      </c>
      <c r="H1395" s="71" t="s">
        <v>1374</v>
      </c>
    </row>
    <row r="1396" spans="1:8" ht="29" x14ac:dyDescent="0.35">
      <c r="A1396" s="195">
        <v>9</v>
      </c>
      <c r="B1396" s="195">
        <v>50</v>
      </c>
      <c r="C1396" s="195" t="s">
        <v>1841</v>
      </c>
      <c r="D1396" s="64">
        <v>32800</v>
      </c>
      <c r="E1396" s="195" t="s">
        <v>373</v>
      </c>
      <c r="F1396" s="71" t="s">
        <v>508</v>
      </c>
      <c r="G1396" s="71" t="s">
        <v>378</v>
      </c>
      <c r="H1396" s="71" t="s">
        <v>1657</v>
      </c>
    </row>
    <row r="1397" spans="1:8" ht="29" x14ac:dyDescent="0.35">
      <c r="A1397" s="195">
        <v>9</v>
      </c>
      <c r="B1397" s="195">
        <v>51</v>
      </c>
      <c r="C1397" s="195" t="s">
        <v>1842</v>
      </c>
      <c r="D1397" s="64">
        <v>9440</v>
      </c>
      <c r="E1397" s="195" t="s">
        <v>373</v>
      </c>
      <c r="F1397" s="71" t="s">
        <v>508</v>
      </c>
      <c r="G1397" s="71" t="s">
        <v>378</v>
      </c>
      <c r="H1397" s="71" t="s">
        <v>1663</v>
      </c>
    </row>
    <row r="1398" spans="1:8" ht="29" x14ac:dyDescent="0.35">
      <c r="A1398" s="195">
        <v>9</v>
      </c>
      <c r="B1398" s="195">
        <v>52</v>
      </c>
      <c r="C1398" s="195" t="s">
        <v>1843</v>
      </c>
      <c r="D1398" s="64">
        <v>10825</v>
      </c>
      <c r="E1398" s="195" t="s">
        <v>373</v>
      </c>
      <c r="F1398" s="71" t="s">
        <v>508</v>
      </c>
      <c r="G1398" s="71" t="s">
        <v>378</v>
      </c>
      <c r="H1398" s="71" t="s">
        <v>1667</v>
      </c>
    </row>
    <row r="1399" spans="1:8" ht="29" x14ac:dyDescent="0.35">
      <c r="A1399" s="195">
        <v>9</v>
      </c>
      <c r="B1399" s="195">
        <v>53</v>
      </c>
      <c r="C1399" s="195" t="s">
        <v>1844</v>
      </c>
      <c r="D1399" s="64">
        <v>3055</v>
      </c>
      <c r="E1399" s="195" t="s">
        <v>373</v>
      </c>
      <c r="F1399" s="71" t="s">
        <v>508</v>
      </c>
      <c r="G1399" s="71" t="s">
        <v>378</v>
      </c>
      <c r="H1399" s="71" t="s">
        <v>1671</v>
      </c>
    </row>
    <row r="1400" spans="1:8" ht="29" x14ac:dyDescent="0.35">
      <c r="A1400" s="195">
        <v>9</v>
      </c>
      <c r="B1400" s="195">
        <v>54</v>
      </c>
      <c r="C1400" s="195" t="s">
        <v>1845</v>
      </c>
      <c r="D1400" s="64">
        <v>1400</v>
      </c>
      <c r="E1400" s="195" t="s">
        <v>366</v>
      </c>
      <c r="F1400" s="71" t="s">
        <v>508</v>
      </c>
      <c r="G1400" s="71" t="s">
        <v>380</v>
      </c>
      <c r="H1400" s="71" t="s">
        <v>1374</v>
      </c>
    </row>
    <row r="1401" spans="1:8" ht="29" x14ac:dyDescent="0.35">
      <c r="A1401" s="195">
        <v>9</v>
      </c>
      <c r="B1401" s="195">
        <v>55</v>
      </c>
      <c r="C1401" s="195" t="s">
        <v>1846</v>
      </c>
      <c r="D1401" s="195">
        <v>600</v>
      </c>
      <c r="E1401" s="195" t="s">
        <v>373</v>
      </c>
      <c r="F1401" s="71" t="s">
        <v>508</v>
      </c>
      <c r="G1401" s="71" t="s">
        <v>380</v>
      </c>
      <c r="H1401" s="71" t="s">
        <v>1657</v>
      </c>
    </row>
    <row r="1402" spans="1:8" ht="29" x14ac:dyDescent="0.35">
      <c r="A1402" s="195">
        <v>9</v>
      </c>
      <c r="B1402" s="195">
        <v>56</v>
      </c>
      <c r="C1402" s="195" t="s">
        <v>1847</v>
      </c>
      <c r="D1402" s="195">
        <v>290</v>
      </c>
      <c r="E1402" s="195" t="s">
        <v>373</v>
      </c>
      <c r="F1402" s="71" t="s">
        <v>508</v>
      </c>
      <c r="G1402" s="71" t="s">
        <v>380</v>
      </c>
      <c r="H1402" s="71" t="s">
        <v>1663</v>
      </c>
    </row>
    <row r="1403" spans="1:8" ht="29" x14ac:dyDescent="0.35">
      <c r="A1403" s="195">
        <v>9</v>
      </c>
      <c r="B1403" s="195">
        <v>57</v>
      </c>
      <c r="C1403" s="195" t="s">
        <v>1848</v>
      </c>
      <c r="D1403" s="195">
        <v>455</v>
      </c>
      <c r="E1403" s="195" t="s">
        <v>373</v>
      </c>
      <c r="F1403" s="71" t="s">
        <v>508</v>
      </c>
      <c r="G1403" s="71" t="s">
        <v>380</v>
      </c>
      <c r="H1403" s="71" t="s">
        <v>1667</v>
      </c>
    </row>
    <row r="1404" spans="1:8" ht="29" x14ac:dyDescent="0.35">
      <c r="A1404" s="195">
        <v>9</v>
      </c>
      <c r="B1404" s="195">
        <v>58</v>
      </c>
      <c r="C1404" s="195" t="s">
        <v>1849</v>
      </c>
      <c r="D1404" s="195">
        <v>60</v>
      </c>
      <c r="E1404" s="195" t="s">
        <v>373</v>
      </c>
      <c r="F1404" s="71" t="s">
        <v>508</v>
      </c>
      <c r="G1404" s="71" t="s">
        <v>380</v>
      </c>
      <c r="H1404" s="71" t="s">
        <v>1671</v>
      </c>
    </row>
    <row r="1405" spans="1:8" ht="29" x14ac:dyDescent="0.35">
      <c r="A1405" s="195">
        <v>9</v>
      </c>
      <c r="B1405" s="195">
        <v>59</v>
      </c>
      <c r="C1405" s="195" t="s">
        <v>1850</v>
      </c>
      <c r="D1405" s="195">
        <v>200</v>
      </c>
      <c r="E1405" s="195" t="s">
        <v>366</v>
      </c>
      <c r="F1405" s="71" t="s">
        <v>508</v>
      </c>
      <c r="G1405" s="71" t="s">
        <v>382</v>
      </c>
      <c r="H1405" s="71" t="s">
        <v>1374</v>
      </c>
    </row>
    <row r="1406" spans="1:8" ht="29" x14ac:dyDescent="0.35">
      <c r="A1406" s="195">
        <v>9</v>
      </c>
      <c r="B1406" s="195">
        <v>60</v>
      </c>
      <c r="C1406" s="195" t="s">
        <v>1851</v>
      </c>
      <c r="D1406" s="195">
        <v>115</v>
      </c>
      <c r="E1406" s="195" t="s">
        <v>373</v>
      </c>
      <c r="F1406" s="71" t="s">
        <v>508</v>
      </c>
      <c r="G1406" s="71" t="s">
        <v>382</v>
      </c>
      <c r="H1406" s="71" t="s">
        <v>1657</v>
      </c>
    </row>
    <row r="1407" spans="1:8" ht="29" x14ac:dyDescent="0.35">
      <c r="A1407" s="195">
        <v>9</v>
      </c>
      <c r="B1407" s="195">
        <v>61</v>
      </c>
      <c r="C1407" s="195" t="s">
        <v>1852</v>
      </c>
      <c r="D1407" s="195">
        <v>60</v>
      </c>
      <c r="E1407" s="195" t="s">
        <v>373</v>
      </c>
      <c r="F1407" s="71" t="s">
        <v>508</v>
      </c>
      <c r="G1407" s="71" t="s">
        <v>382</v>
      </c>
      <c r="H1407" s="71" t="s">
        <v>1663</v>
      </c>
    </row>
    <row r="1408" spans="1:8" ht="29" x14ac:dyDescent="0.35">
      <c r="A1408" s="195">
        <v>9</v>
      </c>
      <c r="B1408" s="195">
        <v>62</v>
      </c>
      <c r="C1408" s="195" t="s">
        <v>1853</v>
      </c>
      <c r="D1408" s="195">
        <v>20</v>
      </c>
      <c r="E1408" s="195" t="s">
        <v>373</v>
      </c>
      <c r="F1408" s="71" t="s">
        <v>508</v>
      </c>
      <c r="G1408" s="71" t="s">
        <v>382</v>
      </c>
      <c r="H1408" s="71" t="s">
        <v>1667</v>
      </c>
    </row>
    <row r="1409" spans="1:9" ht="29" x14ac:dyDescent="0.35">
      <c r="A1409" s="195">
        <v>9</v>
      </c>
      <c r="B1409" s="195">
        <v>63</v>
      </c>
      <c r="C1409" s="195" t="s">
        <v>1854</v>
      </c>
      <c r="D1409" s="195">
        <v>10</v>
      </c>
      <c r="E1409" s="195" t="s">
        <v>373</v>
      </c>
      <c r="F1409" s="71" t="s">
        <v>508</v>
      </c>
      <c r="G1409" s="71" t="s">
        <v>382</v>
      </c>
      <c r="H1409" s="71" t="s">
        <v>1671</v>
      </c>
    </row>
    <row r="1410" spans="1:9" x14ac:dyDescent="0.35">
      <c r="A1410" s="195">
        <v>9</v>
      </c>
      <c r="B1410" s="195">
        <v>64</v>
      </c>
      <c r="C1410" s="195" t="s">
        <v>1855</v>
      </c>
      <c r="D1410" s="64">
        <v>176560</v>
      </c>
      <c r="E1410" s="195" t="s">
        <v>366</v>
      </c>
      <c r="F1410" s="71" t="s">
        <v>508</v>
      </c>
      <c r="G1410" s="71" t="s">
        <v>384</v>
      </c>
      <c r="H1410" s="71" t="s">
        <v>1374</v>
      </c>
    </row>
    <row r="1411" spans="1:9" ht="29" x14ac:dyDescent="0.35">
      <c r="A1411" s="195">
        <v>9</v>
      </c>
      <c r="B1411" s="195">
        <v>65</v>
      </c>
      <c r="C1411" s="195" t="s">
        <v>1856</v>
      </c>
      <c r="D1411" s="64">
        <v>86500</v>
      </c>
      <c r="E1411" s="195" t="s">
        <v>373</v>
      </c>
      <c r="F1411" s="71" t="s">
        <v>508</v>
      </c>
      <c r="G1411" s="71" t="s">
        <v>384</v>
      </c>
      <c r="H1411" s="71" t="s">
        <v>1657</v>
      </c>
    </row>
    <row r="1412" spans="1:9" ht="29" x14ac:dyDescent="0.35">
      <c r="A1412" s="195">
        <v>9</v>
      </c>
      <c r="B1412" s="195">
        <v>66</v>
      </c>
      <c r="C1412" s="195" t="s">
        <v>1857</v>
      </c>
      <c r="D1412" s="64">
        <v>45145</v>
      </c>
      <c r="E1412" s="195" t="s">
        <v>373</v>
      </c>
      <c r="F1412" s="71" t="s">
        <v>508</v>
      </c>
      <c r="G1412" s="71" t="s">
        <v>384</v>
      </c>
      <c r="H1412" s="71" t="s">
        <v>1663</v>
      </c>
    </row>
    <row r="1413" spans="1:9" x14ac:dyDescent="0.35">
      <c r="A1413" s="195">
        <v>9</v>
      </c>
      <c r="B1413" s="195">
        <v>67</v>
      </c>
      <c r="C1413" s="195" t="s">
        <v>1858</v>
      </c>
      <c r="D1413" s="64">
        <v>41330</v>
      </c>
      <c r="E1413" s="195" t="s">
        <v>373</v>
      </c>
      <c r="F1413" s="71" t="s">
        <v>508</v>
      </c>
      <c r="G1413" s="71" t="s">
        <v>384</v>
      </c>
      <c r="H1413" s="71" t="s">
        <v>1667</v>
      </c>
    </row>
    <row r="1414" spans="1:9" ht="29" x14ac:dyDescent="0.35">
      <c r="A1414" s="195">
        <v>9</v>
      </c>
      <c r="B1414" s="195">
        <v>68</v>
      </c>
      <c r="C1414" s="195" t="s">
        <v>1859</v>
      </c>
      <c r="D1414" s="64">
        <v>3585</v>
      </c>
      <c r="E1414" s="195" t="s">
        <v>373</v>
      </c>
      <c r="F1414" s="71" t="s">
        <v>508</v>
      </c>
      <c r="G1414" s="71" t="s">
        <v>384</v>
      </c>
      <c r="H1414" s="71" t="s">
        <v>1671</v>
      </c>
    </row>
    <row r="1415" spans="1:9" ht="29" x14ac:dyDescent="0.35">
      <c r="A1415" s="195">
        <v>9</v>
      </c>
      <c r="B1415" s="195">
        <v>69</v>
      </c>
      <c r="C1415" s="195" t="s">
        <v>1860</v>
      </c>
      <c r="D1415" s="64">
        <v>15345</v>
      </c>
      <c r="E1415" s="195" t="s">
        <v>366</v>
      </c>
      <c r="F1415" s="71" t="s">
        <v>508</v>
      </c>
      <c r="G1415" s="71" t="s">
        <v>386</v>
      </c>
      <c r="H1415" s="71" t="s">
        <v>1374</v>
      </c>
    </row>
    <row r="1416" spans="1:9" ht="29" x14ac:dyDescent="0.35">
      <c r="A1416" s="195">
        <v>9</v>
      </c>
      <c r="B1416" s="195">
        <v>70</v>
      </c>
      <c r="C1416" s="195" t="s">
        <v>1861</v>
      </c>
      <c r="D1416" s="64">
        <v>7510</v>
      </c>
      <c r="E1416" s="195" t="s">
        <v>373</v>
      </c>
      <c r="F1416" s="71" t="s">
        <v>508</v>
      </c>
      <c r="G1416" s="71" t="s">
        <v>386</v>
      </c>
      <c r="H1416" s="71" t="s">
        <v>1657</v>
      </c>
    </row>
    <row r="1417" spans="1:9" ht="29" x14ac:dyDescent="0.35">
      <c r="A1417" s="195">
        <v>9</v>
      </c>
      <c r="B1417" s="195">
        <v>71</v>
      </c>
      <c r="C1417" s="195" t="s">
        <v>1862</v>
      </c>
      <c r="D1417" s="64">
        <v>3175</v>
      </c>
      <c r="E1417" s="195" t="s">
        <v>373</v>
      </c>
      <c r="F1417" s="71" t="s">
        <v>508</v>
      </c>
      <c r="G1417" s="71" t="s">
        <v>386</v>
      </c>
      <c r="H1417" s="71" t="s">
        <v>1663</v>
      </c>
    </row>
    <row r="1418" spans="1:9" ht="29" x14ac:dyDescent="0.35">
      <c r="A1418" s="195">
        <v>9</v>
      </c>
      <c r="B1418" s="195">
        <v>72</v>
      </c>
      <c r="C1418" s="195" t="s">
        <v>1863</v>
      </c>
      <c r="D1418" s="64">
        <v>4095</v>
      </c>
      <c r="E1418" s="195" t="s">
        <v>373</v>
      </c>
      <c r="F1418" s="71" t="s">
        <v>508</v>
      </c>
      <c r="G1418" s="71" t="s">
        <v>386</v>
      </c>
      <c r="H1418" s="71" t="s">
        <v>1667</v>
      </c>
    </row>
    <row r="1419" spans="1:9" ht="29" x14ac:dyDescent="0.35">
      <c r="A1419" s="195">
        <v>9</v>
      </c>
      <c r="B1419" s="195">
        <v>73</v>
      </c>
      <c r="C1419" s="195" t="s">
        <v>1864</v>
      </c>
      <c r="D1419" s="195">
        <v>565</v>
      </c>
      <c r="E1419" s="195" t="s">
        <v>373</v>
      </c>
      <c r="F1419" s="71" t="s">
        <v>508</v>
      </c>
      <c r="G1419" s="71" t="s">
        <v>386</v>
      </c>
      <c r="H1419" s="71" t="s">
        <v>1671</v>
      </c>
    </row>
    <row r="1420" spans="1:9" ht="29" x14ac:dyDescent="0.35">
      <c r="A1420" s="195">
        <v>10</v>
      </c>
      <c r="B1420" s="195">
        <v>1</v>
      </c>
      <c r="C1420" s="195" t="s">
        <v>1865</v>
      </c>
      <c r="D1420" s="64">
        <v>1951605</v>
      </c>
      <c r="E1420" s="195" t="s">
        <v>26</v>
      </c>
      <c r="F1420" s="71" t="s">
        <v>361</v>
      </c>
      <c r="G1420" s="71" t="s">
        <v>1866</v>
      </c>
      <c r="H1420" s="71" t="s">
        <v>363</v>
      </c>
      <c r="I1420" s="71" t="s">
        <v>1867</v>
      </c>
    </row>
    <row r="1421" spans="1:9" x14ac:dyDescent="0.35">
      <c r="A1421" s="195">
        <v>10</v>
      </c>
      <c r="B1421" s="195">
        <v>2</v>
      </c>
      <c r="C1421" s="195" t="s">
        <v>1868</v>
      </c>
      <c r="D1421" s="64">
        <v>1105170</v>
      </c>
      <c r="E1421" s="195" t="s">
        <v>366</v>
      </c>
      <c r="F1421" s="71" t="s">
        <v>367</v>
      </c>
      <c r="G1421" s="71" t="s">
        <v>1866</v>
      </c>
      <c r="H1421" s="71" t="s">
        <v>363</v>
      </c>
      <c r="I1421" s="71" t="s">
        <v>1867</v>
      </c>
    </row>
    <row r="1422" spans="1:9" ht="29" x14ac:dyDescent="0.35">
      <c r="A1422" s="195">
        <v>10</v>
      </c>
      <c r="B1422" s="195">
        <v>3</v>
      </c>
      <c r="C1422" s="195" t="s">
        <v>1869</v>
      </c>
      <c r="D1422" s="64">
        <v>1081450</v>
      </c>
      <c r="E1422" s="195" t="s">
        <v>366</v>
      </c>
      <c r="F1422" s="71" t="s">
        <v>367</v>
      </c>
      <c r="G1422" s="71" t="s">
        <v>1870</v>
      </c>
      <c r="H1422" s="71" t="s">
        <v>363</v>
      </c>
      <c r="I1422" s="71" t="s">
        <v>1867</v>
      </c>
    </row>
    <row r="1423" spans="1:9" ht="29" x14ac:dyDescent="0.35">
      <c r="A1423" s="195">
        <v>10</v>
      </c>
      <c r="B1423" s="195">
        <v>4</v>
      </c>
      <c r="C1423" s="195" t="s">
        <v>1871</v>
      </c>
      <c r="D1423" s="64">
        <v>101385</v>
      </c>
      <c r="E1423" s="195" t="s">
        <v>366</v>
      </c>
      <c r="F1423" s="71" t="s">
        <v>367</v>
      </c>
      <c r="G1423" s="71" t="s">
        <v>1870</v>
      </c>
      <c r="H1423" s="71" t="s">
        <v>371</v>
      </c>
      <c r="I1423" s="71" t="s">
        <v>1867</v>
      </c>
    </row>
    <row r="1424" spans="1:9" ht="29" x14ac:dyDescent="0.35">
      <c r="A1424" s="195">
        <v>10</v>
      </c>
      <c r="B1424" s="195">
        <v>5</v>
      </c>
      <c r="C1424" s="195" t="s">
        <v>1872</v>
      </c>
      <c r="D1424" s="64">
        <v>40460</v>
      </c>
      <c r="E1424" s="195" t="s">
        <v>373</v>
      </c>
      <c r="F1424" s="71" t="s">
        <v>367</v>
      </c>
      <c r="G1424" s="71" t="s">
        <v>1870</v>
      </c>
      <c r="H1424" s="71" t="s">
        <v>371</v>
      </c>
      <c r="I1424" s="71" t="s">
        <v>1873</v>
      </c>
    </row>
    <row r="1425" spans="1:9" ht="43.5" x14ac:dyDescent="0.35">
      <c r="A1425" s="195">
        <v>10</v>
      </c>
      <c r="B1425" s="195">
        <v>6</v>
      </c>
      <c r="C1425" s="195" t="s">
        <v>1874</v>
      </c>
      <c r="D1425" s="64">
        <v>2510</v>
      </c>
      <c r="E1425" s="195" t="s">
        <v>373</v>
      </c>
      <c r="F1425" s="71" t="s">
        <v>367</v>
      </c>
      <c r="G1425" s="71" t="s">
        <v>1870</v>
      </c>
      <c r="H1425" s="71" t="s">
        <v>371</v>
      </c>
      <c r="I1425" s="71" t="s">
        <v>1875</v>
      </c>
    </row>
    <row r="1426" spans="1:9" ht="29" x14ac:dyDescent="0.35">
      <c r="A1426" s="195">
        <v>10</v>
      </c>
      <c r="B1426" s="195">
        <v>7</v>
      </c>
      <c r="C1426" s="195" t="s">
        <v>1876</v>
      </c>
      <c r="D1426" s="64">
        <v>58415</v>
      </c>
      <c r="E1426" s="195" t="s">
        <v>373</v>
      </c>
      <c r="F1426" s="71" t="s">
        <v>367</v>
      </c>
      <c r="G1426" s="71" t="s">
        <v>1870</v>
      </c>
      <c r="H1426" s="71" t="s">
        <v>371</v>
      </c>
      <c r="I1426" s="71" t="s">
        <v>1877</v>
      </c>
    </row>
    <row r="1427" spans="1:9" ht="43.5" x14ac:dyDescent="0.35">
      <c r="A1427" s="195">
        <v>10</v>
      </c>
      <c r="B1427" s="195">
        <v>8</v>
      </c>
      <c r="C1427" s="195" t="s">
        <v>1878</v>
      </c>
      <c r="D1427" s="64">
        <v>113505</v>
      </c>
      <c r="E1427" s="195" t="s">
        <v>366</v>
      </c>
      <c r="F1427" s="71" t="s">
        <v>367</v>
      </c>
      <c r="G1427" s="71" t="s">
        <v>1870</v>
      </c>
      <c r="H1427" s="71" t="s">
        <v>388</v>
      </c>
      <c r="I1427" s="71" t="s">
        <v>1867</v>
      </c>
    </row>
    <row r="1428" spans="1:9" ht="43.5" x14ac:dyDescent="0.35">
      <c r="A1428" s="195">
        <v>10</v>
      </c>
      <c r="B1428" s="195">
        <v>9</v>
      </c>
      <c r="C1428" s="195" t="s">
        <v>1879</v>
      </c>
      <c r="D1428" s="64">
        <v>60185</v>
      </c>
      <c r="E1428" s="195" t="s">
        <v>373</v>
      </c>
      <c r="F1428" s="71" t="s">
        <v>367</v>
      </c>
      <c r="G1428" s="71" t="s">
        <v>1870</v>
      </c>
      <c r="H1428" s="71" t="s">
        <v>388</v>
      </c>
      <c r="I1428" s="71" t="s">
        <v>1873</v>
      </c>
    </row>
    <row r="1429" spans="1:9" ht="43.5" x14ac:dyDescent="0.35">
      <c r="A1429" s="195">
        <v>10</v>
      </c>
      <c r="B1429" s="195">
        <v>10</v>
      </c>
      <c r="C1429" s="195" t="s">
        <v>1880</v>
      </c>
      <c r="D1429" s="64">
        <v>4405</v>
      </c>
      <c r="E1429" s="195" t="s">
        <v>373</v>
      </c>
      <c r="F1429" s="71" t="s">
        <v>367</v>
      </c>
      <c r="G1429" s="71" t="s">
        <v>1870</v>
      </c>
      <c r="H1429" s="71" t="s">
        <v>388</v>
      </c>
      <c r="I1429" s="71" t="s">
        <v>1875</v>
      </c>
    </row>
    <row r="1430" spans="1:9" ht="43.5" x14ac:dyDescent="0.35">
      <c r="A1430" s="195">
        <v>10</v>
      </c>
      <c r="B1430" s="195">
        <v>11</v>
      </c>
      <c r="C1430" s="195" t="s">
        <v>1881</v>
      </c>
      <c r="D1430" s="64">
        <v>48910</v>
      </c>
      <c r="E1430" s="195" t="s">
        <v>373</v>
      </c>
      <c r="F1430" s="71" t="s">
        <v>367</v>
      </c>
      <c r="G1430" s="71" t="s">
        <v>1870</v>
      </c>
      <c r="H1430" s="71" t="s">
        <v>388</v>
      </c>
      <c r="I1430" s="71" t="s">
        <v>1877</v>
      </c>
    </row>
    <row r="1431" spans="1:9" ht="43.5" x14ac:dyDescent="0.35">
      <c r="A1431" s="195">
        <v>10</v>
      </c>
      <c r="B1431" s="195">
        <v>12</v>
      </c>
      <c r="C1431" s="195" t="s">
        <v>1882</v>
      </c>
      <c r="D1431" s="64">
        <v>168500</v>
      </c>
      <c r="E1431" s="195" t="s">
        <v>366</v>
      </c>
      <c r="F1431" s="71" t="s">
        <v>367</v>
      </c>
      <c r="G1431" s="71" t="s">
        <v>1870</v>
      </c>
      <c r="H1431" s="71" t="s">
        <v>397</v>
      </c>
      <c r="I1431" s="71" t="s">
        <v>1867</v>
      </c>
    </row>
    <row r="1432" spans="1:9" ht="43.5" x14ac:dyDescent="0.35">
      <c r="A1432" s="195">
        <v>10</v>
      </c>
      <c r="B1432" s="195">
        <v>13</v>
      </c>
      <c r="C1432" s="195" t="s">
        <v>1883</v>
      </c>
      <c r="D1432" s="64">
        <v>105300</v>
      </c>
      <c r="E1432" s="195" t="s">
        <v>373</v>
      </c>
      <c r="F1432" s="71" t="s">
        <v>367</v>
      </c>
      <c r="G1432" s="71" t="s">
        <v>1870</v>
      </c>
      <c r="H1432" s="71" t="s">
        <v>397</v>
      </c>
      <c r="I1432" s="71" t="s">
        <v>1873</v>
      </c>
    </row>
    <row r="1433" spans="1:9" ht="43.5" x14ac:dyDescent="0.35">
      <c r="A1433" s="195">
        <v>10</v>
      </c>
      <c r="B1433" s="195">
        <v>14</v>
      </c>
      <c r="C1433" s="195" t="s">
        <v>1884</v>
      </c>
      <c r="D1433" s="64">
        <v>8250</v>
      </c>
      <c r="E1433" s="195" t="s">
        <v>373</v>
      </c>
      <c r="F1433" s="71" t="s">
        <v>367</v>
      </c>
      <c r="G1433" s="71" t="s">
        <v>1870</v>
      </c>
      <c r="H1433" s="71" t="s">
        <v>397</v>
      </c>
      <c r="I1433" s="71" t="s">
        <v>1875</v>
      </c>
    </row>
    <row r="1434" spans="1:9" ht="43.5" x14ac:dyDescent="0.35">
      <c r="A1434" s="195">
        <v>10</v>
      </c>
      <c r="B1434" s="195">
        <v>15</v>
      </c>
      <c r="C1434" s="195" t="s">
        <v>1885</v>
      </c>
      <c r="D1434" s="64">
        <v>54950</v>
      </c>
      <c r="E1434" s="195" t="s">
        <v>373</v>
      </c>
      <c r="F1434" s="71" t="s">
        <v>367</v>
      </c>
      <c r="G1434" s="71" t="s">
        <v>1870</v>
      </c>
      <c r="H1434" s="71" t="s">
        <v>397</v>
      </c>
      <c r="I1434" s="71" t="s">
        <v>1877</v>
      </c>
    </row>
    <row r="1435" spans="1:9" ht="43.5" x14ac:dyDescent="0.35">
      <c r="A1435" s="195">
        <v>10</v>
      </c>
      <c r="B1435" s="195">
        <v>16</v>
      </c>
      <c r="C1435" s="195" t="s">
        <v>1886</v>
      </c>
      <c r="D1435" s="64">
        <v>110830</v>
      </c>
      <c r="E1435" s="195" t="s">
        <v>366</v>
      </c>
      <c r="F1435" s="71" t="s">
        <v>367</v>
      </c>
      <c r="G1435" s="71" t="s">
        <v>1870</v>
      </c>
      <c r="H1435" s="71" t="s">
        <v>406</v>
      </c>
      <c r="I1435" s="71" t="s">
        <v>1867</v>
      </c>
    </row>
    <row r="1436" spans="1:9" ht="43.5" x14ac:dyDescent="0.35">
      <c r="A1436" s="195">
        <v>10</v>
      </c>
      <c r="B1436" s="195">
        <v>17</v>
      </c>
      <c r="C1436" s="195" t="s">
        <v>1887</v>
      </c>
      <c r="D1436" s="64">
        <v>73020</v>
      </c>
      <c r="E1436" s="195" t="s">
        <v>373</v>
      </c>
      <c r="F1436" s="71" t="s">
        <v>367</v>
      </c>
      <c r="G1436" s="71" t="s">
        <v>1870</v>
      </c>
      <c r="H1436" s="71" t="s">
        <v>406</v>
      </c>
      <c r="I1436" s="71" t="s">
        <v>1873</v>
      </c>
    </row>
    <row r="1437" spans="1:9" ht="43.5" x14ac:dyDescent="0.35">
      <c r="A1437" s="195">
        <v>10</v>
      </c>
      <c r="B1437" s="195">
        <v>18</v>
      </c>
      <c r="C1437" s="195" t="s">
        <v>1888</v>
      </c>
      <c r="D1437" s="64">
        <v>5595</v>
      </c>
      <c r="E1437" s="195" t="s">
        <v>373</v>
      </c>
      <c r="F1437" s="71" t="s">
        <v>367</v>
      </c>
      <c r="G1437" s="71" t="s">
        <v>1870</v>
      </c>
      <c r="H1437" s="71" t="s">
        <v>406</v>
      </c>
      <c r="I1437" s="71" t="s">
        <v>1875</v>
      </c>
    </row>
    <row r="1438" spans="1:9" ht="43.5" x14ac:dyDescent="0.35">
      <c r="A1438" s="195">
        <v>10</v>
      </c>
      <c r="B1438" s="195">
        <v>19</v>
      </c>
      <c r="C1438" s="195" t="s">
        <v>1889</v>
      </c>
      <c r="D1438" s="64">
        <v>32215</v>
      </c>
      <c r="E1438" s="195" t="s">
        <v>373</v>
      </c>
      <c r="F1438" s="71" t="s">
        <v>367</v>
      </c>
      <c r="G1438" s="71" t="s">
        <v>1870</v>
      </c>
      <c r="H1438" s="71" t="s">
        <v>406</v>
      </c>
      <c r="I1438" s="71" t="s">
        <v>1877</v>
      </c>
    </row>
    <row r="1439" spans="1:9" ht="29" x14ac:dyDescent="0.35">
      <c r="A1439" s="195">
        <v>10</v>
      </c>
      <c r="B1439" s="195">
        <v>20</v>
      </c>
      <c r="C1439" s="195" t="s">
        <v>1890</v>
      </c>
      <c r="D1439" s="64">
        <v>587230</v>
      </c>
      <c r="E1439" s="195" t="s">
        <v>366</v>
      </c>
      <c r="F1439" s="71" t="s">
        <v>367</v>
      </c>
      <c r="G1439" s="71" t="s">
        <v>1870</v>
      </c>
      <c r="H1439" s="71" t="s">
        <v>415</v>
      </c>
      <c r="I1439" s="71" t="s">
        <v>1867</v>
      </c>
    </row>
    <row r="1440" spans="1:9" ht="29" x14ac:dyDescent="0.35">
      <c r="A1440" s="195">
        <v>10</v>
      </c>
      <c r="B1440" s="195">
        <v>21</v>
      </c>
      <c r="C1440" s="195" t="s">
        <v>1891</v>
      </c>
      <c r="D1440" s="64">
        <v>434735</v>
      </c>
      <c r="E1440" s="195" t="s">
        <v>373</v>
      </c>
      <c r="F1440" s="71" t="s">
        <v>367</v>
      </c>
      <c r="G1440" s="71" t="s">
        <v>1870</v>
      </c>
      <c r="H1440" s="71" t="s">
        <v>415</v>
      </c>
      <c r="I1440" s="71" t="s">
        <v>1873</v>
      </c>
    </row>
    <row r="1441" spans="1:9" ht="43.5" x14ac:dyDescent="0.35">
      <c r="A1441" s="195">
        <v>10</v>
      </c>
      <c r="B1441" s="195">
        <v>22</v>
      </c>
      <c r="C1441" s="195" t="s">
        <v>1892</v>
      </c>
      <c r="D1441" s="64">
        <v>18830</v>
      </c>
      <c r="E1441" s="195" t="s">
        <v>373</v>
      </c>
      <c r="F1441" s="71" t="s">
        <v>367</v>
      </c>
      <c r="G1441" s="71" t="s">
        <v>1870</v>
      </c>
      <c r="H1441" s="71" t="s">
        <v>415</v>
      </c>
      <c r="I1441" s="71" t="s">
        <v>1875</v>
      </c>
    </row>
    <row r="1442" spans="1:9" ht="29" x14ac:dyDescent="0.35">
      <c r="A1442" s="195">
        <v>10</v>
      </c>
      <c r="B1442" s="195">
        <v>23</v>
      </c>
      <c r="C1442" s="195" t="s">
        <v>1893</v>
      </c>
      <c r="D1442" s="64">
        <v>133665</v>
      </c>
      <c r="E1442" s="195" t="s">
        <v>373</v>
      </c>
      <c r="F1442" s="71" t="s">
        <v>367</v>
      </c>
      <c r="G1442" s="71" t="s">
        <v>1870</v>
      </c>
      <c r="H1442" s="71" t="s">
        <v>415</v>
      </c>
      <c r="I1442" s="71" t="s">
        <v>1877</v>
      </c>
    </row>
    <row r="1443" spans="1:9" ht="29" x14ac:dyDescent="0.35">
      <c r="A1443" s="195">
        <v>10</v>
      </c>
      <c r="B1443" s="195">
        <v>24</v>
      </c>
      <c r="C1443" s="195" t="s">
        <v>1894</v>
      </c>
      <c r="D1443" s="64">
        <v>19165</v>
      </c>
      <c r="E1443" s="195" t="s">
        <v>366</v>
      </c>
      <c r="F1443" s="71" t="s">
        <v>367</v>
      </c>
      <c r="G1443" s="71" t="s">
        <v>1895</v>
      </c>
      <c r="H1443" s="71" t="s">
        <v>363</v>
      </c>
      <c r="I1443" s="71" t="s">
        <v>1867</v>
      </c>
    </row>
    <row r="1444" spans="1:9" ht="29" x14ac:dyDescent="0.35">
      <c r="A1444" s="195">
        <v>10</v>
      </c>
      <c r="B1444" s="195">
        <v>25</v>
      </c>
      <c r="C1444" s="195" t="s">
        <v>1896</v>
      </c>
      <c r="D1444" s="64">
        <v>1805</v>
      </c>
      <c r="E1444" s="195" t="s">
        <v>366</v>
      </c>
      <c r="F1444" s="71" t="s">
        <v>367</v>
      </c>
      <c r="G1444" s="71" t="s">
        <v>1895</v>
      </c>
      <c r="H1444" s="71" t="s">
        <v>371</v>
      </c>
      <c r="I1444" s="71" t="s">
        <v>1867</v>
      </c>
    </row>
    <row r="1445" spans="1:9" ht="29" x14ac:dyDescent="0.35">
      <c r="A1445" s="195">
        <v>10</v>
      </c>
      <c r="B1445" s="195">
        <v>26</v>
      </c>
      <c r="C1445" s="195" t="s">
        <v>1897</v>
      </c>
      <c r="D1445" s="64">
        <v>1340</v>
      </c>
      <c r="E1445" s="195" t="s">
        <v>373</v>
      </c>
      <c r="F1445" s="71" t="s">
        <v>367</v>
      </c>
      <c r="G1445" s="71" t="s">
        <v>1895</v>
      </c>
      <c r="H1445" s="71" t="s">
        <v>371</v>
      </c>
      <c r="I1445" s="71" t="s">
        <v>1873</v>
      </c>
    </row>
    <row r="1446" spans="1:9" ht="43.5" x14ac:dyDescent="0.35">
      <c r="A1446" s="195">
        <v>10</v>
      </c>
      <c r="B1446" s="195">
        <v>27</v>
      </c>
      <c r="C1446" s="195" t="s">
        <v>1898</v>
      </c>
      <c r="D1446" s="195">
        <v>460</v>
      </c>
      <c r="E1446" s="195" t="s">
        <v>373</v>
      </c>
      <c r="F1446" s="71" t="s">
        <v>367</v>
      </c>
      <c r="G1446" s="71" t="s">
        <v>1895</v>
      </c>
      <c r="H1446" s="71" t="s">
        <v>371</v>
      </c>
      <c r="I1446" s="71" t="s">
        <v>1875</v>
      </c>
    </row>
    <row r="1447" spans="1:9" ht="29" x14ac:dyDescent="0.35">
      <c r="A1447" s="195">
        <v>10</v>
      </c>
      <c r="B1447" s="195">
        <v>28</v>
      </c>
      <c r="C1447" s="195" t="s">
        <v>1899</v>
      </c>
      <c r="D1447" s="195">
        <v>4</v>
      </c>
      <c r="E1447" s="195" t="s">
        <v>373</v>
      </c>
      <c r="F1447" s="71" t="s">
        <v>367</v>
      </c>
      <c r="G1447" s="71" t="s">
        <v>1895</v>
      </c>
      <c r="H1447" s="71" t="s">
        <v>371</v>
      </c>
      <c r="I1447" s="71" t="s">
        <v>1877</v>
      </c>
    </row>
    <row r="1448" spans="1:9" ht="43.5" x14ac:dyDescent="0.35">
      <c r="A1448" s="195">
        <v>10</v>
      </c>
      <c r="B1448" s="195">
        <v>29</v>
      </c>
      <c r="C1448" s="195" t="s">
        <v>1900</v>
      </c>
      <c r="D1448" s="64">
        <v>3650</v>
      </c>
      <c r="E1448" s="195" t="s">
        <v>366</v>
      </c>
      <c r="F1448" s="71" t="s">
        <v>367</v>
      </c>
      <c r="G1448" s="71" t="s">
        <v>1895</v>
      </c>
      <c r="H1448" s="71" t="s">
        <v>388</v>
      </c>
      <c r="I1448" s="71" t="s">
        <v>1867</v>
      </c>
    </row>
    <row r="1449" spans="1:9" ht="43.5" x14ac:dyDescent="0.35">
      <c r="A1449" s="195">
        <v>10</v>
      </c>
      <c r="B1449" s="195">
        <v>30</v>
      </c>
      <c r="C1449" s="195" t="s">
        <v>1901</v>
      </c>
      <c r="D1449" s="64">
        <v>2615</v>
      </c>
      <c r="E1449" s="195" t="s">
        <v>373</v>
      </c>
      <c r="F1449" s="71" t="s">
        <v>367</v>
      </c>
      <c r="G1449" s="71" t="s">
        <v>1895</v>
      </c>
      <c r="H1449" s="71" t="s">
        <v>388</v>
      </c>
      <c r="I1449" s="71" t="s">
        <v>1873</v>
      </c>
    </row>
    <row r="1450" spans="1:9" ht="43.5" x14ac:dyDescent="0.35">
      <c r="A1450" s="195">
        <v>10</v>
      </c>
      <c r="B1450" s="195">
        <v>31</v>
      </c>
      <c r="C1450" s="195" t="s">
        <v>1902</v>
      </c>
      <c r="D1450" s="195">
        <v>995</v>
      </c>
      <c r="E1450" s="195" t="s">
        <v>373</v>
      </c>
      <c r="F1450" s="71" t="s">
        <v>367</v>
      </c>
      <c r="G1450" s="71" t="s">
        <v>1895</v>
      </c>
      <c r="H1450" s="71" t="s">
        <v>388</v>
      </c>
      <c r="I1450" s="71" t="s">
        <v>1875</v>
      </c>
    </row>
    <row r="1451" spans="1:9" ht="43.5" x14ac:dyDescent="0.35">
      <c r="A1451" s="195">
        <v>10</v>
      </c>
      <c r="B1451" s="195">
        <v>32</v>
      </c>
      <c r="C1451" s="195" t="s">
        <v>1903</v>
      </c>
      <c r="D1451" s="195">
        <v>40</v>
      </c>
      <c r="E1451" s="195" t="s">
        <v>373</v>
      </c>
      <c r="F1451" s="71" t="s">
        <v>367</v>
      </c>
      <c r="G1451" s="71" t="s">
        <v>1895</v>
      </c>
      <c r="H1451" s="71" t="s">
        <v>388</v>
      </c>
      <c r="I1451" s="71" t="s">
        <v>1877</v>
      </c>
    </row>
    <row r="1452" spans="1:9" ht="43.5" x14ac:dyDescent="0.35">
      <c r="A1452" s="195">
        <v>10</v>
      </c>
      <c r="B1452" s="195">
        <v>33</v>
      </c>
      <c r="C1452" s="195" t="s">
        <v>1904</v>
      </c>
      <c r="D1452" s="64">
        <v>4680</v>
      </c>
      <c r="E1452" s="195" t="s">
        <v>366</v>
      </c>
      <c r="F1452" s="71" t="s">
        <v>367</v>
      </c>
      <c r="G1452" s="71" t="s">
        <v>1895</v>
      </c>
      <c r="H1452" s="71" t="s">
        <v>397</v>
      </c>
      <c r="I1452" s="71" t="s">
        <v>1867</v>
      </c>
    </row>
    <row r="1453" spans="1:9" ht="43.5" x14ac:dyDescent="0.35">
      <c r="A1453" s="195">
        <v>10</v>
      </c>
      <c r="B1453" s="195">
        <v>34</v>
      </c>
      <c r="C1453" s="195" t="s">
        <v>1905</v>
      </c>
      <c r="D1453" s="64">
        <v>3080</v>
      </c>
      <c r="E1453" s="195" t="s">
        <v>373</v>
      </c>
      <c r="F1453" s="71" t="s">
        <v>367</v>
      </c>
      <c r="G1453" s="71" t="s">
        <v>1895</v>
      </c>
      <c r="H1453" s="71" t="s">
        <v>397</v>
      </c>
      <c r="I1453" s="71" t="s">
        <v>1873</v>
      </c>
    </row>
    <row r="1454" spans="1:9" ht="43.5" x14ac:dyDescent="0.35">
      <c r="A1454" s="195">
        <v>10</v>
      </c>
      <c r="B1454" s="195">
        <v>35</v>
      </c>
      <c r="C1454" s="195" t="s">
        <v>1906</v>
      </c>
      <c r="D1454" s="64">
        <v>1585</v>
      </c>
      <c r="E1454" s="195" t="s">
        <v>373</v>
      </c>
      <c r="F1454" s="71" t="s">
        <v>367</v>
      </c>
      <c r="G1454" s="71" t="s">
        <v>1895</v>
      </c>
      <c r="H1454" s="71" t="s">
        <v>397</v>
      </c>
      <c r="I1454" s="71" t="s">
        <v>1875</v>
      </c>
    </row>
    <row r="1455" spans="1:9" ht="43.5" x14ac:dyDescent="0.35">
      <c r="A1455" s="195">
        <v>10</v>
      </c>
      <c r="B1455" s="195">
        <v>36</v>
      </c>
      <c r="C1455" s="195" t="s">
        <v>1907</v>
      </c>
      <c r="D1455" s="195">
        <v>15</v>
      </c>
      <c r="E1455" s="195" t="s">
        <v>373</v>
      </c>
      <c r="F1455" s="71" t="s">
        <v>367</v>
      </c>
      <c r="G1455" s="71" t="s">
        <v>1895</v>
      </c>
      <c r="H1455" s="71" t="s">
        <v>397</v>
      </c>
      <c r="I1455" s="71" t="s">
        <v>1877</v>
      </c>
    </row>
    <row r="1456" spans="1:9" ht="43.5" x14ac:dyDescent="0.35">
      <c r="A1456" s="195">
        <v>10</v>
      </c>
      <c r="B1456" s="195">
        <v>37</v>
      </c>
      <c r="C1456" s="195" t="s">
        <v>1908</v>
      </c>
      <c r="D1456" s="64">
        <v>2795</v>
      </c>
      <c r="E1456" s="195" t="s">
        <v>366</v>
      </c>
      <c r="F1456" s="71" t="s">
        <v>367</v>
      </c>
      <c r="G1456" s="71" t="s">
        <v>1895</v>
      </c>
      <c r="H1456" s="71" t="s">
        <v>406</v>
      </c>
      <c r="I1456" s="71" t="s">
        <v>1867</v>
      </c>
    </row>
    <row r="1457" spans="1:9" ht="43.5" x14ac:dyDescent="0.35">
      <c r="A1457" s="195">
        <v>10</v>
      </c>
      <c r="B1457" s="195">
        <v>38</v>
      </c>
      <c r="C1457" s="195" t="s">
        <v>1909</v>
      </c>
      <c r="D1457" s="64">
        <v>1635</v>
      </c>
      <c r="E1457" s="195" t="s">
        <v>373</v>
      </c>
      <c r="F1457" s="71" t="s">
        <v>367</v>
      </c>
      <c r="G1457" s="71" t="s">
        <v>1895</v>
      </c>
      <c r="H1457" s="71" t="s">
        <v>406</v>
      </c>
      <c r="I1457" s="71" t="s">
        <v>1873</v>
      </c>
    </row>
    <row r="1458" spans="1:9" ht="43.5" x14ac:dyDescent="0.35">
      <c r="A1458" s="195">
        <v>10</v>
      </c>
      <c r="B1458" s="195">
        <v>39</v>
      </c>
      <c r="C1458" s="195" t="s">
        <v>1910</v>
      </c>
      <c r="D1458" s="64">
        <v>1155</v>
      </c>
      <c r="E1458" s="195" t="s">
        <v>373</v>
      </c>
      <c r="F1458" s="71" t="s">
        <v>367</v>
      </c>
      <c r="G1458" s="71" t="s">
        <v>1895</v>
      </c>
      <c r="H1458" s="71" t="s">
        <v>406</v>
      </c>
      <c r="I1458" s="71" t="s">
        <v>1875</v>
      </c>
    </row>
    <row r="1459" spans="1:9" ht="43.5" x14ac:dyDescent="0.35">
      <c r="A1459" s="195">
        <v>10</v>
      </c>
      <c r="B1459" s="195">
        <v>40</v>
      </c>
      <c r="C1459" s="195" t="s">
        <v>1911</v>
      </c>
      <c r="D1459" s="195">
        <v>0</v>
      </c>
      <c r="E1459" s="195" t="s">
        <v>373</v>
      </c>
      <c r="F1459" s="71" t="s">
        <v>367</v>
      </c>
      <c r="G1459" s="71" t="s">
        <v>1895</v>
      </c>
      <c r="H1459" s="71" t="s">
        <v>406</v>
      </c>
      <c r="I1459" s="71" t="s">
        <v>1877</v>
      </c>
    </row>
    <row r="1460" spans="1:9" ht="29" x14ac:dyDescent="0.35">
      <c r="A1460" s="195">
        <v>10</v>
      </c>
      <c r="B1460" s="195">
        <v>41</v>
      </c>
      <c r="C1460" s="195" t="s">
        <v>1912</v>
      </c>
      <c r="D1460" s="64">
        <v>6235</v>
      </c>
      <c r="E1460" s="195" t="s">
        <v>366</v>
      </c>
      <c r="F1460" s="71" t="s">
        <v>367</v>
      </c>
      <c r="G1460" s="71" t="s">
        <v>1895</v>
      </c>
      <c r="H1460" s="71" t="s">
        <v>415</v>
      </c>
      <c r="I1460" s="71" t="s">
        <v>1867</v>
      </c>
    </row>
    <row r="1461" spans="1:9" ht="29" x14ac:dyDescent="0.35">
      <c r="A1461" s="195">
        <v>10</v>
      </c>
      <c r="B1461" s="195">
        <v>42</v>
      </c>
      <c r="C1461" s="195" t="s">
        <v>1913</v>
      </c>
      <c r="D1461" s="64">
        <v>3595</v>
      </c>
      <c r="E1461" s="195" t="s">
        <v>373</v>
      </c>
      <c r="F1461" s="71" t="s">
        <v>367</v>
      </c>
      <c r="G1461" s="71" t="s">
        <v>1895</v>
      </c>
      <c r="H1461" s="71" t="s">
        <v>415</v>
      </c>
      <c r="I1461" s="71" t="s">
        <v>1873</v>
      </c>
    </row>
    <row r="1462" spans="1:9" ht="43.5" x14ac:dyDescent="0.35">
      <c r="A1462" s="195">
        <v>10</v>
      </c>
      <c r="B1462" s="195">
        <v>43</v>
      </c>
      <c r="C1462" s="195" t="s">
        <v>1914</v>
      </c>
      <c r="D1462" s="64">
        <v>2595</v>
      </c>
      <c r="E1462" s="195" t="s">
        <v>373</v>
      </c>
      <c r="F1462" s="71" t="s">
        <v>367</v>
      </c>
      <c r="G1462" s="71" t="s">
        <v>1895</v>
      </c>
      <c r="H1462" s="71" t="s">
        <v>415</v>
      </c>
      <c r="I1462" s="71" t="s">
        <v>1875</v>
      </c>
    </row>
    <row r="1463" spans="1:9" ht="29" x14ac:dyDescent="0.35">
      <c r="A1463" s="195">
        <v>10</v>
      </c>
      <c r="B1463" s="195">
        <v>44</v>
      </c>
      <c r="C1463" s="195" t="s">
        <v>1915</v>
      </c>
      <c r="D1463" s="195">
        <v>45</v>
      </c>
      <c r="E1463" s="195" t="s">
        <v>373</v>
      </c>
      <c r="F1463" s="71" t="s">
        <v>367</v>
      </c>
      <c r="G1463" s="71" t="s">
        <v>1895</v>
      </c>
      <c r="H1463" s="71" t="s">
        <v>415</v>
      </c>
      <c r="I1463" s="71" t="s">
        <v>1877</v>
      </c>
    </row>
    <row r="1464" spans="1:9" x14ac:dyDescent="0.35">
      <c r="A1464" s="195">
        <v>10</v>
      </c>
      <c r="B1464" s="195">
        <v>45</v>
      </c>
      <c r="C1464" s="195" t="s">
        <v>1916</v>
      </c>
      <c r="D1464" s="64">
        <v>4555</v>
      </c>
      <c r="E1464" s="195" t="s">
        <v>366</v>
      </c>
      <c r="F1464" s="71" t="s">
        <v>367</v>
      </c>
      <c r="G1464" s="71" t="s">
        <v>1917</v>
      </c>
      <c r="H1464" s="71" t="s">
        <v>363</v>
      </c>
      <c r="I1464" s="71" t="s">
        <v>1867</v>
      </c>
    </row>
    <row r="1465" spans="1:9" ht="29" x14ac:dyDescent="0.35">
      <c r="A1465" s="195">
        <v>10</v>
      </c>
      <c r="B1465" s="195">
        <v>46</v>
      </c>
      <c r="C1465" s="195" t="s">
        <v>1918</v>
      </c>
      <c r="D1465" s="195">
        <v>495</v>
      </c>
      <c r="E1465" s="195" t="s">
        <v>366</v>
      </c>
      <c r="F1465" s="71" t="s">
        <v>367</v>
      </c>
      <c r="G1465" s="71" t="s">
        <v>1917</v>
      </c>
      <c r="H1465" s="71" t="s">
        <v>371</v>
      </c>
      <c r="I1465" s="71" t="s">
        <v>1867</v>
      </c>
    </row>
    <row r="1466" spans="1:9" ht="29" x14ac:dyDescent="0.35">
      <c r="A1466" s="195">
        <v>10</v>
      </c>
      <c r="B1466" s="195">
        <v>47</v>
      </c>
      <c r="C1466" s="195" t="s">
        <v>1919</v>
      </c>
      <c r="D1466" s="195">
        <v>395</v>
      </c>
      <c r="E1466" s="195" t="s">
        <v>373</v>
      </c>
      <c r="F1466" s="71" t="s">
        <v>367</v>
      </c>
      <c r="G1466" s="71" t="s">
        <v>1917</v>
      </c>
      <c r="H1466" s="71" t="s">
        <v>371</v>
      </c>
      <c r="I1466" s="71" t="s">
        <v>1873</v>
      </c>
    </row>
    <row r="1467" spans="1:9" ht="43.5" x14ac:dyDescent="0.35">
      <c r="A1467" s="195">
        <v>10</v>
      </c>
      <c r="B1467" s="195">
        <v>48</v>
      </c>
      <c r="C1467" s="195" t="s">
        <v>1920</v>
      </c>
      <c r="D1467" s="195">
        <v>105</v>
      </c>
      <c r="E1467" s="195" t="s">
        <v>373</v>
      </c>
      <c r="F1467" s="71" t="s">
        <v>367</v>
      </c>
      <c r="G1467" s="71" t="s">
        <v>1917</v>
      </c>
      <c r="H1467" s="71" t="s">
        <v>371</v>
      </c>
      <c r="I1467" s="71" t="s">
        <v>1875</v>
      </c>
    </row>
    <row r="1468" spans="1:9" ht="29" x14ac:dyDescent="0.35">
      <c r="A1468" s="195">
        <v>10</v>
      </c>
      <c r="B1468" s="195">
        <v>49</v>
      </c>
      <c r="C1468" s="195" t="s">
        <v>1921</v>
      </c>
      <c r="D1468" s="195">
        <v>0</v>
      </c>
      <c r="E1468" s="195" t="s">
        <v>373</v>
      </c>
      <c r="F1468" s="71" t="s">
        <v>367</v>
      </c>
      <c r="G1468" s="71" t="s">
        <v>1917</v>
      </c>
      <c r="H1468" s="71" t="s">
        <v>371</v>
      </c>
      <c r="I1468" s="71" t="s">
        <v>1877</v>
      </c>
    </row>
    <row r="1469" spans="1:9" ht="43.5" x14ac:dyDescent="0.35">
      <c r="A1469" s="195">
        <v>10</v>
      </c>
      <c r="B1469" s="195">
        <v>50</v>
      </c>
      <c r="C1469" s="195" t="s">
        <v>1922</v>
      </c>
      <c r="D1469" s="195">
        <v>870</v>
      </c>
      <c r="E1469" s="195" t="s">
        <v>366</v>
      </c>
      <c r="F1469" s="71" t="s">
        <v>367</v>
      </c>
      <c r="G1469" s="71" t="s">
        <v>1917</v>
      </c>
      <c r="H1469" s="71" t="s">
        <v>388</v>
      </c>
      <c r="I1469" s="71" t="s">
        <v>1867</v>
      </c>
    </row>
    <row r="1470" spans="1:9" ht="43.5" x14ac:dyDescent="0.35">
      <c r="A1470" s="195">
        <v>10</v>
      </c>
      <c r="B1470" s="195">
        <v>51</v>
      </c>
      <c r="C1470" s="195" t="s">
        <v>1923</v>
      </c>
      <c r="D1470" s="195">
        <v>685</v>
      </c>
      <c r="E1470" s="195" t="s">
        <v>373</v>
      </c>
      <c r="F1470" s="71" t="s">
        <v>367</v>
      </c>
      <c r="G1470" s="71" t="s">
        <v>1917</v>
      </c>
      <c r="H1470" s="71" t="s">
        <v>388</v>
      </c>
      <c r="I1470" s="71" t="s">
        <v>1873</v>
      </c>
    </row>
    <row r="1471" spans="1:9" ht="43.5" x14ac:dyDescent="0.35">
      <c r="A1471" s="195">
        <v>10</v>
      </c>
      <c r="B1471" s="195">
        <v>52</v>
      </c>
      <c r="C1471" s="195" t="s">
        <v>1924</v>
      </c>
      <c r="D1471" s="195">
        <v>175</v>
      </c>
      <c r="E1471" s="195" t="s">
        <v>373</v>
      </c>
      <c r="F1471" s="71" t="s">
        <v>367</v>
      </c>
      <c r="G1471" s="71" t="s">
        <v>1917</v>
      </c>
      <c r="H1471" s="71" t="s">
        <v>388</v>
      </c>
      <c r="I1471" s="71" t="s">
        <v>1875</v>
      </c>
    </row>
    <row r="1472" spans="1:9" ht="43.5" x14ac:dyDescent="0.35">
      <c r="A1472" s="195">
        <v>10</v>
      </c>
      <c r="B1472" s="195">
        <v>53</v>
      </c>
      <c r="C1472" s="195" t="s">
        <v>1925</v>
      </c>
      <c r="D1472" s="195">
        <v>4</v>
      </c>
      <c r="E1472" s="195" t="s">
        <v>373</v>
      </c>
      <c r="F1472" s="71" t="s">
        <v>367</v>
      </c>
      <c r="G1472" s="71" t="s">
        <v>1917</v>
      </c>
      <c r="H1472" s="71" t="s">
        <v>388</v>
      </c>
      <c r="I1472" s="71" t="s">
        <v>1877</v>
      </c>
    </row>
    <row r="1473" spans="1:9" ht="43.5" x14ac:dyDescent="0.35">
      <c r="A1473" s="195">
        <v>10</v>
      </c>
      <c r="B1473" s="195">
        <v>54</v>
      </c>
      <c r="C1473" s="195" t="s">
        <v>1926</v>
      </c>
      <c r="D1473" s="195">
        <v>940</v>
      </c>
      <c r="E1473" s="195" t="s">
        <v>366</v>
      </c>
      <c r="F1473" s="71" t="s">
        <v>367</v>
      </c>
      <c r="G1473" s="71" t="s">
        <v>1917</v>
      </c>
      <c r="H1473" s="71" t="s">
        <v>397</v>
      </c>
      <c r="I1473" s="71" t="s">
        <v>1867</v>
      </c>
    </row>
    <row r="1474" spans="1:9" ht="43.5" x14ac:dyDescent="0.35">
      <c r="A1474" s="195">
        <v>10</v>
      </c>
      <c r="B1474" s="195">
        <v>55</v>
      </c>
      <c r="C1474" s="195" t="s">
        <v>1927</v>
      </c>
      <c r="D1474" s="195">
        <v>595</v>
      </c>
      <c r="E1474" s="195" t="s">
        <v>373</v>
      </c>
      <c r="F1474" s="71" t="s">
        <v>367</v>
      </c>
      <c r="G1474" s="71" t="s">
        <v>1917</v>
      </c>
      <c r="H1474" s="71" t="s">
        <v>397</v>
      </c>
      <c r="I1474" s="71" t="s">
        <v>1873</v>
      </c>
    </row>
    <row r="1475" spans="1:9" ht="43.5" x14ac:dyDescent="0.35">
      <c r="A1475" s="195">
        <v>10</v>
      </c>
      <c r="B1475" s="195">
        <v>56</v>
      </c>
      <c r="C1475" s="195" t="s">
        <v>1928</v>
      </c>
      <c r="D1475" s="195">
        <v>295</v>
      </c>
      <c r="E1475" s="195" t="s">
        <v>373</v>
      </c>
      <c r="F1475" s="71" t="s">
        <v>367</v>
      </c>
      <c r="G1475" s="71" t="s">
        <v>1917</v>
      </c>
      <c r="H1475" s="71" t="s">
        <v>397</v>
      </c>
      <c r="I1475" s="71" t="s">
        <v>1875</v>
      </c>
    </row>
    <row r="1476" spans="1:9" ht="43.5" x14ac:dyDescent="0.35">
      <c r="A1476" s="195">
        <v>10</v>
      </c>
      <c r="B1476" s="195">
        <v>57</v>
      </c>
      <c r="C1476" s="195" t="s">
        <v>1929</v>
      </c>
      <c r="D1476" s="195">
        <v>45</v>
      </c>
      <c r="E1476" s="195" t="s">
        <v>373</v>
      </c>
      <c r="F1476" s="71" t="s">
        <v>367</v>
      </c>
      <c r="G1476" s="71" t="s">
        <v>1917</v>
      </c>
      <c r="H1476" s="71" t="s">
        <v>397</v>
      </c>
      <c r="I1476" s="71" t="s">
        <v>1877</v>
      </c>
    </row>
    <row r="1477" spans="1:9" ht="43.5" x14ac:dyDescent="0.35">
      <c r="A1477" s="195">
        <v>10</v>
      </c>
      <c r="B1477" s="195">
        <v>58</v>
      </c>
      <c r="C1477" s="195" t="s">
        <v>1930</v>
      </c>
      <c r="D1477" s="195">
        <v>585</v>
      </c>
      <c r="E1477" s="195" t="s">
        <v>366</v>
      </c>
      <c r="F1477" s="71" t="s">
        <v>367</v>
      </c>
      <c r="G1477" s="71" t="s">
        <v>1917</v>
      </c>
      <c r="H1477" s="71" t="s">
        <v>406</v>
      </c>
      <c r="I1477" s="71" t="s">
        <v>1867</v>
      </c>
    </row>
    <row r="1478" spans="1:9" ht="43.5" x14ac:dyDescent="0.35">
      <c r="A1478" s="195">
        <v>10</v>
      </c>
      <c r="B1478" s="195">
        <v>59</v>
      </c>
      <c r="C1478" s="195" t="s">
        <v>1931</v>
      </c>
      <c r="D1478" s="195">
        <v>345</v>
      </c>
      <c r="E1478" s="195" t="s">
        <v>373</v>
      </c>
      <c r="F1478" s="71" t="s">
        <v>367</v>
      </c>
      <c r="G1478" s="71" t="s">
        <v>1917</v>
      </c>
      <c r="H1478" s="71" t="s">
        <v>406</v>
      </c>
      <c r="I1478" s="71" t="s">
        <v>1873</v>
      </c>
    </row>
    <row r="1479" spans="1:9" ht="43.5" x14ac:dyDescent="0.35">
      <c r="A1479" s="195">
        <v>10</v>
      </c>
      <c r="B1479" s="195">
        <v>60</v>
      </c>
      <c r="C1479" s="195" t="s">
        <v>1932</v>
      </c>
      <c r="D1479" s="195">
        <v>215</v>
      </c>
      <c r="E1479" s="195" t="s">
        <v>373</v>
      </c>
      <c r="F1479" s="71" t="s">
        <v>367</v>
      </c>
      <c r="G1479" s="71" t="s">
        <v>1917</v>
      </c>
      <c r="H1479" s="71" t="s">
        <v>406</v>
      </c>
      <c r="I1479" s="71" t="s">
        <v>1875</v>
      </c>
    </row>
    <row r="1480" spans="1:9" ht="43.5" x14ac:dyDescent="0.35">
      <c r="A1480" s="195">
        <v>10</v>
      </c>
      <c r="B1480" s="195">
        <v>61</v>
      </c>
      <c r="C1480" s="195" t="s">
        <v>1933</v>
      </c>
      <c r="D1480" s="195">
        <v>20</v>
      </c>
      <c r="E1480" s="195" t="s">
        <v>373</v>
      </c>
      <c r="F1480" s="71" t="s">
        <v>367</v>
      </c>
      <c r="G1480" s="71" t="s">
        <v>1917</v>
      </c>
      <c r="H1480" s="71" t="s">
        <v>406</v>
      </c>
      <c r="I1480" s="71" t="s">
        <v>1877</v>
      </c>
    </row>
    <row r="1481" spans="1:9" ht="29" x14ac:dyDescent="0.35">
      <c r="A1481" s="195">
        <v>10</v>
      </c>
      <c r="B1481" s="195">
        <v>62</v>
      </c>
      <c r="C1481" s="195" t="s">
        <v>1934</v>
      </c>
      <c r="D1481" s="64">
        <v>1670</v>
      </c>
      <c r="E1481" s="195" t="s">
        <v>366</v>
      </c>
      <c r="F1481" s="71" t="s">
        <v>367</v>
      </c>
      <c r="G1481" s="71" t="s">
        <v>1917</v>
      </c>
      <c r="H1481" s="71" t="s">
        <v>415</v>
      </c>
      <c r="I1481" s="71" t="s">
        <v>1867</v>
      </c>
    </row>
    <row r="1482" spans="1:9" ht="29" x14ac:dyDescent="0.35">
      <c r="A1482" s="195">
        <v>10</v>
      </c>
      <c r="B1482" s="195">
        <v>63</v>
      </c>
      <c r="C1482" s="195" t="s">
        <v>1935</v>
      </c>
      <c r="D1482" s="64">
        <v>1045</v>
      </c>
      <c r="E1482" s="195" t="s">
        <v>373</v>
      </c>
      <c r="F1482" s="71" t="s">
        <v>367</v>
      </c>
      <c r="G1482" s="71" t="s">
        <v>1917</v>
      </c>
      <c r="H1482" s="71" t="s">
        <v>415</v>
      </c>
      <c r="I1482" s="71" t="s">
        <v>1873</v>
      </c>
    </row>
    <row r="1483" spans="1:9" ht="43.5" x14ac:dyDescent="0.35">
      <c r="A1483" s="195">
        <v>10</v>
      </c>
      <c r="B1483" s="195">
        <v>64</v>
      </c>
      <c r="C1483" s="195" t="s">
        <v>1936</v>
      </c>
      <c r="D1483" s="195">
        <v>385</v>
      </c>
      <c r="E1483" s="195" t="s">
        <v>373</v>
      </c>
      <c r="F1483" s="71" t="s">
        <v>367</v>
      </c>
      <c r="G1483" s="71" t="s">
        <v>1917</v>
      </c>
      <c r="H1483" s="71" t="s">
        <v>415</v>
      </c>
      <c r="I1483" s="71" t="s">
        <v>1875</v>
      </c>
    </row>
    <row r="1484" spans="1:9" ht="29" x14ac:dyDescent="0.35">
      <c r="A1484" s="195">
        <v>10</v>
      </c>
      <c r="B1484" s="195">
        <v>65</v>
      </c>
      <c r="C1484" s="195" t="s">
        <v>1937</v>
      </c>
      <c r="D1484" s="195">
        <v>240</v>
      </c>
      <c r="E1484" s="195" t="s">
        <v>373</v>
      </c>
      <c r="F1484" s="71" t="s">
        <v>367</v>
      </c>
      <c r="G1484" s="71" t="s">
        <v>1917</v>
      </c>
      <c r="H1484" s="71" t="s">
        <v>415</v>
      </c>
      <c r="I1484" s="71" t="s">
        <v>1877</v>
      </c>
    </row>
    <row r="1485" spans="1:9" x14ac:dyDescent="0.35">
      <c r="A1485" s="195">
        <v>10</v>
      </c>
      <c r="B1485" s="195">
        <v>66</v>
      </c>
      <c r="C1485" s="195" t="s">
        <v>1938</v>
      </c>
      <c r="D1485" s="64">
        <v>846440</v>
      </c>
      <c r="E1485" s="195" t="s">
        <v>366</v>
      </c>
      <c r="F1485" s="71" t="s">
        <v>508</v>
      </c>
      <c r="G1485" s="71" t="s">
        <v>1866</v>
      </c>
      <c r="H1485" s="71" t="s">
        <v>363</v>
      </c>
      <c r="I1485" s="71" t="s">
        <v>1867</v>
      </c>
    </row>
    <row r="1486" spans="1:9" ht="29" x14ac:dyDescent="0.35">
      <c r="A1486" s="195">
        <v>10</v>
      </c>
      <c r="B1486" s="195">
        <v>67</v>
      </c>
      <c r="C1486" s="195" t="s">
        <v>1939</v>
      </c>
      <c r="D1486" s="64">
        <v>799360</v>
      </c>
      <c r="E1486" s="195" t="s">
        <v>366</v>
      </c>
      <c r="F1486" s="71" t="s">
        <v>508</v>
      </c>
      <c r="G1486" s="71" t="s">
        <v>1870</v>
      </c>
      <c r="H1486" s="71" t="s">
        <v>363</v>
      </c>
      <c r="I1486" s="71" t="s">
        <v>1867</v>
      </c>
    </row>
    <row r="1487" spans="1:9" ht="29" x14ac:dyDescent="0.35">
      <c r="A1487" s="195">
        <v>10</v>
      </c>
      <c r="B1487" s="195">
        <v>68</v>
      </c>
      <c r="C1487" s="195" t="s">
        <v>1940</v>
      </c>
      <c r="D1487" s="64">
        <v>245845</v>
      </c>
      <c r="E1487" s="195" t="s">
        <v>366</v>
      </c>
      <c r="F1487" s="71" t="s">
        <v>508</v>
      </c>
      <c r="G1487" s="71" t="s">
        <v>1870</v>
      </c>
      <c r="H1487" s="71" t="s">
        <v>371</v>
      </c>
      <c r="I1487" s="71" t="s">
        <v>1867</v>
      </c>
    </row>
    <row r="1488" spans="1:9" ht="29" x14ac:dyDescent="0.35">
      <c r="A1488" s="195">
        <v>10</v>
      </c>
      <c r="B1488" s="195">
        <v>69</v>
      </c>
      <c r="C1488" s="195" t="s">
        <v>1941</v>
      </c>
      <c r="D1488" s="64">
        <v>95455</v>
      </c>
      <c r="E1488" s="195" t="s">
        <v>373</v>
      </c>
      <c r="F1488" s="71" t="s">
        <v>508</v>
      </c>
      <c r="G1488" s="71" t="s">
        <v>1870</v>
      </c>
      <c r="H1488" s="71" t="s">
        <v>371</v>
      </c>
      <c r="I1488" s="71" t="s">
        <v>1873</v>
      </c>
    </row>
    <row r="1489" spans="1:9" ht="43.5" x14ac:dyDescent="0.35">
      <c r="A1489" s="195">
        <v>10</v>
      </c>
      <c r="B1489" s="195">
        <v>70</v>
      </c>
      <c r="C1489" s="195" t="s">
        <v>1942</v>
      </c>
      <c r="D1489" s="64">
        <v>5820</v>
      </c>
      <c r="E1489" s="195" t="s">
        <v>373</v>
      </c>
      <c r="F1489" s="71" t="s">
        <v>508</v>
      </c>
      <c r="G1489" s="71" t="s">
        <v>1870</v>
      </c>
      <c r="H1489" s="71" t="s">
        <v>371</v>
      </c>
      <c r="I1489" s="71" t="s">
        <v>1875</v>
      </c>
    </row>
    <row r="1490" spans="1:9" ht="29" x14ac:dyDescent="0.35">
      <c r="A1490" s="195">
        <v>10</v>
      </c>
      <c r="B1490" s="195">
        <v>71</v>
      </c>
      <c r="C1490" s="195" t="s">
        <v>1943</v>
      </c>
      <c r="D1490" s="64">
        <v>144570</v>
      </c>
      <c r="E1490" s="195" t="s">
        <v>373</v>
      </c>
      <c r="F1490" s="71" t="s">
        <v>508</v>
      </c>
      <c r="G1490" s="71" t="s">
        <v>1870</v>
      </c>
      <c r="H1490" s="71" t="s">
        <v>371</v>
      </c>
      <c r="I1490" s="71" t="s">
        <v>1877</v>
      </c>
    </row>
    <row r="1491" spans="1:9" ht="43.5" x14ac:dyDescent="0.35">
      <c r="A1491" s="195">
        <v>10</v>
      </c>
      <c r="B1491" s="195">
        <v>72</v>
      </c>
      <c r="C1491" s="195" t="s">
        <v>1944</v>
      </c>
      <c r="D1491" s="64">
        <v>136000</v>
      </c>
      <c r="E1491" s="195" t="s">
        <v>366</v>
      </c>
      <c r="F1491" s="71" t="s">
        <v>508</v>
      </c>
      <c r="G1491" s="71" t="s">
        <v>1870</v>
      </c>
      <c r="H1491" s="71" t="s">
        <v>388</v>
      </c>
      <c r="I1491" s="71" t="s">
        <v>1867</v>
      </c>
    </row>
    <row r="1492" spans="1:9" ht="43.5" x14ac:dyDescent="0.35">
      <c r="A1492" s="195">
        <v>10</v>
      </c>
      <c r="B1492" s="195">
        <v>73</v>
      </c>
      <c r="C1492" s="195" t="s">
        <v>1945</v>
      </c>
      <c r="D1492" s="64">
        <v>66850</v>
      </c>
      <c r="E1492" s="195" t="s">
        <v>373</v>
      </c>
      <c r="F1492" s="71" t="s">
        <v>508</v>
      </c>
      <c r="G1492" s="71" t="s">
        <v>1870</v>
      </c>
      <c r="H1492" s="71" t="s">
        <v>388</v>
      </c>
      <c r="I1492" s="71" t="s">
        <v>1873</v>
      </c>
    </row>
    <row r="1493" spans="1:9" ht="43.5" x14ac:dyDescent="0.35">
      <c r="A1493" s="195">
        <v>10</v>
      </c>
      <c r="B1493" s="195">
        <v>74</v>
      </c>
      <c r="C1493" s="195" t="s">
        <v>1946</v>
      </c>
      <c r="D1493" s="64">
        <v>4540</v>
      </c>
      <c r="E1493" s="195" t="s">
        <v>373</v>
      </c>
      <c r="F1493" s="71" t="s">
        <v>508</v>
      </c>
      <c r="G1493" s="71" t="s">
        <v>1870</v>
      </c>
      <c r="H1493" s="71" t="s">
        <v>388</v>
      </c>
      <c r="I1493" s="71" t="s">
        <v>1875</v>
      </c>
    </row>
    <row r="1494" spans="1:9" ht="43.5" x14ac:dyDescent="0.35">
      <c r="A1494" s="195">
        <v>10</v>
      </c>
      <c r="B1494" s="195">
        <v>75</v>
      </c>
      <c r="C1494" s="195" t="s">
        <v>1947</v>
      </c>
      <c r="D1494" s="64">
        <v>64610</v>
      </c>
      <c r="E1494" s="195" t="s">
        <v>373</v>
      </c>
      <c r="F1494" s="71" t="s">
        <v>508</v>
      </c>
      <c r="G1494" s="71" t="s">
        <v>1870</v>
      </c>
      <c r="H1494" s="71" t="s">
        <v>388</v>
      </c>
      <c r="I1494" s="71" t="s">
        <v>1877</v>
      </c>
    </row>
    <row r="1495" spans="1:9" ht="43.5" x14ac:dyDescent="0.35">
      <c r="A1495" s="195">
        <v>10</v>
      </c>
      <c r="B1495" s="195">
        <v>76</v>
      </c>
      <c r="C1495" s="195" t="s">
        <v>1948</v>
      </c>
      <c r="D1495" s="64">
        <v>144215</v>
      </c>
      <c r="E1495" s="195" t="s">
        <v>366</v>
      </c>
      <c r="F1495" s="71" t="s">
        <v>508</v>
      </c>
      <c r="G1495" s="71" t="s">
        <v>1870</v>
      </c>
      <c r="H1495" s="71" t="s">
        <v>397</v>
      </c>
      <c r="I1495" s="71" t="s">
        <v>1867</v>
      </c>
    </row>
    <row r="1496" spans="1:9" ht="43.5" x14ac:dyDescent="0.35">
      <c r="A1496" s="195">
        <v>10</v>
      </c>
      <c r="B1496" s="195">
        <v>77</v>
      </c>
      <c r="C1496" s="195" t="s">
        <v>1949</v>
      </c>
      <c r="D1496" s="64">
        <v>66105</v>
      </c>
      <c r="E1496" s="195" t="s">
        <v>373</v>
      </c>
      <c r="F1496" s="71" t="s">
        <v>508</v>
      </c>
      <c r="G1496" s="71" t="s">
        <v>1870</v>
      </c>
      <c r="H1496" s="71" t="s">
        <v>397</v>
      </c>
      <c r="I1496" s="71" t="s">
        <v>1873</v>
      </c>
    </row>
    <row r="1497" spans="1:9" ht="43.5" x14ac:dyDescent="0.35">
      <c r="A1497" s="195">
        <v>10</v>
      </c>
      <c r="B1497" s="195">
        <v>78</v>
      </c>
      <c r="C1497" s="195" t="s">
        <v>1950</v>
      </c>
      <c r="D1497" s="64">
        <v>4715</v>
      </c>
      <c r="E1497" s="195" t="s">
        <v>373</v>
      </c>
      <c r="F1497" s="71" t="s">
        <v>508</v>
      </c>
      <c r="G1497" s="71" t="s">
        <v>1870</v>
      </c>
      <c r="H1497" s="71" t="s">
        <v>397</v>
      </c>
      <c r="I1497" s="71" t="s">
        <v>1875</v>
      </c>
    </row>
    <row r="1498" spans="1:9" ht="43.5" x14ac:dyDescent="0.35">
      <c r="A1498" s="195">
        <v>10</v>
      </c>
      <c r="B1498" s="195">
        <v>79</v>
      </c>
      <c r="C1498" s="195" t="s">
        <v>1951</v>
      </c>
      <c r="D1498" s="64">
        <v>73400</v>
      </c>
      <c r="E1498" s="195" t="s">
        <v>373</v>
      </c>
      <c r="F1498" s="71" t="s">
        <v>508</v>
      </c>
      <c r="G1498" s="71" t="s">
        <v>1870</v>
      </c>
      <c r="H1498" s="71" t="s">
        <v>397</v>
      </c>
      <c r="I1498" s="71" t="s">
        <v>1877</v>
      </c>
    </row>
    <row r="1499" spans="1:9" ht="43.5" x14ac:dyDescent="0.35">
      <c r="A1499" s="195">
        <v>10</v>
      </c>
      <c r="B1499" s="195">
        <v>80</v>
      </c>
      <c r="C1499" s="195" t="s">
        <v>1952</v>
      </c>
      <c r="D1499" s="64">
        <v>69875</v>
      </c>
      <c r="E1499" s="195" t="s">
        <v>366</v>
      </c>
      <c r="F1499" s="71" t="s">
        <v>508</v>
      </c>
      <c r="G1499" s="71" t="s">
        <v>1870</v>
      </c>
      <c r="H1499" s="71" t="s">
        <v>406</v>
      </c>
      <c r="I1499" s="71" t="s">
        <v>1867</v>
      </c>
    </row>
    <row r="1500" spans="1:9" ht="43.5" x14ac:dyDescent="0.35">
      <c r="A1500" s="195">
        <v>10</v>
      </c>
      <c r="B1500" s="195">
        <v>81</v>
      </c>
      <c r="C1500" s="195" t="s">
        <v>1953</v>
      </c>
      <c r="D1500" s="64">
        <v>30585</v>
      </c>
      <c r="E1500" s="195" t="s">
        <v>373</v>
      </c>
      <c r="F1500" s="71" t="s">
        <v>508</v>
      </c>
      <c r="G1500" s="71" t="s">
        <v>1870</v>
      </c>
      <c r="H1500" s="71" t="s">
        <v>406</v>
      </c>
      <c r="I1500" s="71" t="s">
        <v>1873</v>
      </c>
    </row>
    <row r="1501" spans="1:9" ht="43.5" x14ac:dyDescent="0.35">
      <c r="A1501" s="195">
        <v>10</v>
      </c>
      <c r="B1501" s="195">
        <v>82</v>
      </c>
      <c r="C1501" s="195" t="s">
        <v>1954</v>
      </c>
      <c r="D1501" s="64">
        <v>1795</v>
      </c>
      <c r="E1501" s="195" t="s">
        <v>373</v>
      </c>
      <c r="F1501" s="71" t="s">
        <v>508</v>
      </c>
      <c r="G1501" s="71" t="s">
        <v>1870</v>
      </c>
      <c r="H1501" s="71" t="s">
        <v>406</v>
      </c>
      <c r="I1501" s="71" t="s">
        <v>1875</v>
      </c>
    </row>
    <row r="1502" spans="1:9" ht="43.5" x14ac:dyDescent="0.35">
      <c r="A1502" s="195">
        <v>10</v>
      </c>
      <c r="B1502" s="195">
        <v>83</v>
      </c>
      <c r="C1502" s="195" t="s">
        <v>1955</v>
      </c>
      <c r="D1502" s="64">
        <v>37495</v>
      </c>
      <c r="E1502" s="195" t="s">
        <v>373</v>
      </c>
      <c r="F1502" s="71" t="s">
        <v>508</v>
      </c>
      <c r="G1502" s="71" t="s">
        <v>1870</v>
      </c>
      <c r="H1502" s="71" t="s">
        <v>406</v>
      </c>
      <c r="I1502" s="71" t="s">
        <v>1877</v>
      </c>
    </row>
    <row r="1503" spans="1:9" ht="29" x14ac:dyDescent="0.35">
      <c r="A1503" s="195">
        <v>10</v>
      </c>
      <c r="B1503" s="195">
        <v>84</v>
      </c>
      <c r="C1503" s="195" t="s">
        <v>1956</v>
      </c>
      <c r="D1503" s="64">
        <v>203425</v>
      </c>
      <c r="E1503" s="195" t="s">
        <v>366</v>
      </c>
      <c r="F1503" s="71" t="s">
        <v>508</v>
      </c>
      <c r="G1503" s="71" t="s">
        <v>1870</v>
      </c>
      <c r="H1503" s="71" t="s">
        <v>415</v>
      </c>
      <c r="I1503" s="71" t="s">
        <v>1867</v>
      </c>
    </row>
    <row r="1504" spans="1:9" ht="29" x14ac:dyDescent="0.35">
      <c r="A1504" s="195">
        <v>10</v>
      </c>
      <c r="B1504" s="195">
        <v>85</v>
      </c>
      <c r="C1504" s="195" t="s">
        <v>1957</v>
      </c>
      <c r="D1504" s="64">
        <v>86625</v>
      </c>
      <c r="E1504" s="195" t="s">
        <v>373</v>
      </c>
      <c r="F1504" s="71" t="s">
        <v>508</v>
      </c>
      <c r="G1504" s="71" t="s">
        <v>1870</v>
      </c>
      <c r="H1504" s="71" t="s">
        <v>415</v>
      </c>
      <c r="I1504" s="71" t="s">
        <v>1873</v>
      </c>
    </row>
    <row r="1505" spans="1:9" ht="43.5" x14ac:dyDescent="0.35">
      <c r="A1505" s="195">
        <v>10</v>
      </c>
      <c r="B1505" s="195">
        <v>86</v>
      </c>
      <c r="C1505" s="195" t="s">
        <v>1958</v>
      </c>
      <c r="D1505" s="64">
        <v>2955</v>
      </c>
      <c r="E1505" s="195" t="s">
        <v>373</v>
      </c>
      <c r="F1505" s="71" t="s">
        <v>508</v>
      </c>
      <c r="G1505" s="71" t="s">
        <v>1870</v>
      </c>
      <c r="H1505" s="71" t="s">
        <v>415</v>
      </c>
      <c r="I1505" s="71" t="s">
        <v>1875</v>
      </c>
    </row>
    <row r="1506" spans="1:9" ht="29" x14ac:dyDescent="0.35">
      <c r="A1506" s="195">
        <v>10</v>
      </c>
      <c r="B1506" s="195">
        <v>87</v>
      </c>
      <c r="C1506" s="195" t="s">
        <v>1959</v>
      </c>
      <c r="D1506" s="64">
        <v>113845</v>
      </c>
      <c r="E1506" s="195" t="s">
        <v>373</v>
      </c>
      <c r="F1506" s="71" t="s">
        <v>508</v>
      </c>
      <c r="G1506" s="71" t="s">
        <v>1870</v>
      </c>
      <c r="H1506" s="71" t="s">
        <v>415</v>
      </c>
      <c r="I1506" s="71" t="s">
        <v>1877</v>
      </c>
    </row>
    <row r="1507" spans="1:9" ht="29" x14ac:dyDescent="0.35">
      <c r="A1507" s="195">
        <v>10</v>
      </c>
      <c r="B1507" s="195">
        <v>88</v>
      </c>
      <c r="C1507" s="195" t="s">
        <v>1960</v>
      </c>
      <c r="D1507" s="64">
        <v>32090</v>
      </c>
      <c r="E1507" s="195" t="s">
        <v>366</v>
      </c>
      <c r="F1507" s="71" t="s">
        <v>508</v>
      </c>
      <c r="G1507" s="71" t="s">
        <v>1895</v>
      </c>
      <c r="H1507" s="71" t="s">
        <v>363</v>
      </c>
      <c r="I1507" s="71" t="s">
        <v>1867</v>
      </c>
    </row>
    <row r="1508" spans="1:9" ht="29" x14ac:dyDescent="0.35">
      <c r="A1508" s="195">
        <v>10</v>
      </c>
      <c r="B1508" s="195">
        <v>89</v>
      </c>
      <c r="C1508" s="195" t="s">
        <v>1961</v>
      </c>
      <c r="D1508" s="64">
        <v>12260</v>
      </c>
      <c r="E1508" s="195" t="s">
        <v>366</v>
      </c>
      <c r="F1508" s="71" t="s">
        <v>508</v>
      </c>
      <c r="G1508" s="71" t="s">
        <v>1895</v>
      </c>
      <c r="H1508" s="71" t="s">
        <v>371</v>
      </c>
      <c r="I1508" s="71" t="s">
        <v>1867</v>
      </c>
    </row>
    <row r="1509" spans="1:9" ht="29" x14ac:dyDescent="0.35">
      <c r="A1509" s="195">
        <v>10</v>
      </c>
      <c r="B1509" s="195">
        <v>90</v>
      </c>
      <c r="C1509" s="195" t="s">
        <v>1962</v>
      </c>
      <c r="D1509" s="64">
        <v>10370</v>
      </c>
      <c r="E1509" s="195" t="s">
        <v>373</v>
      </c>
      <c r="F1509" s="71" t="s">
        <v>508</v>
      </c>
      <c r="G1509" s="71" t="s">
        <v>1895</v>
      </c>
      <c r="H1509" s="71" t="s">
        <v>371</v>
      </c>
      <c r="I1509" s="71" t="s">
        <v>1873</v>
      </c>
    </row>
    <row r="1510" spans="1:9" ht="43.5" x14ac:dyDescent="0.35">
      <c r="A1510" s="195">
        <v>10</v>
      </c>
      <c r="B1510" s="195">
        <v>91</v>
      </c>
      <c r="C1510" s="195" t="s">
        <v>1963</v>
      </c>
      <c r="D1510" s="64">
        <v>1785</v>
      </c>
      <c r="E1510" s="195" t="s">
        <v>373</v>
      </c>
      <c r="F1510" s="71" t="s">
        <v>508</v>
      </c>
      <c r="G1510" s="71" t="s">
        <v>1895</v>
      </c>
      <c r="H1510" s="71" t="s">
        <v>371</v>
      </c>
      <c r="I1510" s="71" t="s">
        <v>1875</v>
      </c>
    </row>
    <row r="1511" spans="1:9" ht="29" x14ac:dyDescent="0.35">
      <c r="A1511" s="195">
        <v>10</v>
      </c>
      <c r="B1511" s="195">
        <v>92</v>
      </c>
      <c r="C1511" s="195" t="s">
        <v>1964</v>
      </c>
      <c r="D1511" s="195">
        <v>100</v>
      </c>
      <c r="E1511" s="195" t="s">
        <v>373</v>
      </c>
      <c r="F1511" s="71" t="s">
        <v>508</v>
      </c>
      <c r="G1511" s="71" t="s">
        <v>1895</v>
      </c>
      <c r="H1511" s="71" t="s">
        <v>371</v>
      </c>
      <c r="I1511" s="71" t="s">
        <v>1877</v>
      </c>
    </row>
    <row r="1512" spans="1:9" ht="43.5" x14ac:dyDescent="0.35">
      <c r="A1512" s="195">
        <v>10</v>
      </c>
      <c r="B1512" s="195">
        <v>93</v>
      </c>
      <c r="C1512" s="195" t="s">
        <v>1965</v>
      </c>
      <c r="D1512" s="64">
        <v>8410</v>
      </c>
      <c r="E1512" s="195" t="s">
        <v>366</v>
      </c>
      <c r="F1512" s="71" t="s">
        <v>508</v>
      </c>
      <c r="G1512" s="71" t="s">
        <v>1895</v>
      </c>
      <c r="H1512" s="71" t="s">
        <v>388</v>
      </c>
      <c r="I1512" s="71" t="s">
        <v>1867</v>
      </c>
    </row>
    <row r="1513" spans="1:9" ht="43.5" x14ac:dyDescent="0.35">
      <c r="A1513" s="195">
        <v>10</v>
      </c>
      <c r="B1513" s="195">
        <v>94</v>
      </c>
      <c r="C1513" s="195" t="s">
        <v>1966</v>
      </c>
      <c r="D1513" s="64">
        <v>6795</v>
      </c>
      <c r="E1513" s="195" t="s">
        <v>373</v>
      </c>
      <c r="F1513" s="71" t="s">
        <v>508</v>
      </c>
      <c r="G1513" s="71" t="s">
        <v>1895</v>
      </c>
      <c r="H1513" s="71" t="s">
        <v>388</v>
      </c>
      <c r="I1513" s="71" t="s">
        <v>1873</v>
      </c>
    </row>
    <row r="1514" spans="1:9" ht="43.5" x14ac:dyDescent="0.35">
      <c r="A1514" s="195">
        <v>10</v>
      </c>
      <c r="B1514" s="195">
        <v>95</v>
      </c>
      <c r="C1514" s="195" t="s">
        <v>1967</v>
      </c>
      <c r="D1514" s="64">
        <v>1590</v>
      </c>
      <c r="E1514" s="195" t="s">
        <v>373</v>
      </c>
      <c r="F1514" s="71" t="s">
        <v>508</v>
      </c>
      <c r="G1514" s="71" t="s">
        <v>1895</v>
      </c>
      <c r="H1514" s="71" t="s">
        <v>388</v>
      </c>
      <c r="I1514" s="71" t="s">
        <v>1875</v>
      </c>
    </row>
    <row r="1515" spans="1:9" ht="43.5" x14ac:dyDescent="0.35">
      <c r="A1515" s="195">
        <v>10</v>
      </c>
      <c r="B1515" s="195">
        <v>96</v>
      </c>
      <c r="C1515" s="195" t="s">
        <v>1968</v>
      </c>
      <c r="D1515" s="195">
        <v>25</v>
      </c>
      <c r="E1515" s="195" t="s">
        <v>373</v>
      </c>
      <c r="F1515" s="71" t="s">
        <v>508</v>
      </c>
      <c r="G1515" s="71" t="s">
        <v>1895</v>
      </c>
      <c r="H1515" s="71" t="s">
        <v>388</v>
      </c>
      <c r="I1515" s="71" t="s">
        <v>1877</v>
      </c>
    </row>
    <row r="1516" spans="1:9" ht="43.5" x14ac:dyDescent="0.35">
      <c r="A1516" s="195">
        <v>10</v>
      </c>
      <c r="B1516" s="195">
        <v>97</v>
      </c>
      <c r="C1516" s="195" t="s">
        <v>1969</v>
      </c>
      <c r="D1516" s="64">
        <v>6420</v>
      </c>
      <c r="E1516" s="195" t="s">
        <v>366</v>
      </c>
      <c r="F1516" s="71" t="s">
        <v>508</v>
      </c>
      <c r="G1516" s="71" t="s">
        <v>1895</v>
      </c>
      <c r="H1516" s="71" t="s">
        <v>397</v>
      </c>
      <c r="I1516" s="71" t="s">
        <v>1867</v>
      </c>
    </row>
    <row r="1517" spans="1:9" ht="43.5" x14ac:dyDescent="0.35">
      <c r="A1517" s="195">
        <v>10</v>
      </c>
      <c r="B1517" s="195">
        <v>98</v>
      </c>
      <c r="C1517" s="195" t="s">
        <v>1970</v>
      </c>
      <c r="D1517" s="64">
        <v>4695</v>
      </c>
      <c r="E1517" s="195" t="s">
        <v>373</v>
      </c>
      <c r="F1517" s="71" t="s">
        <v>508</v>
      </c>
      <c r="G1517" s="71" t="s">
        <v>1895</v>
      </c>
      <c r="H1517" s="71" t="s">
        <v>397</v>
      </c>
      <c r="I1517" s="71" t="s">
        <v>1873</v>
      </c>
    </row>
    <row r="1518" spans="1:9" ht="43.5" x14ac:dyDescent="0.35">
      <c r="A1518" s="195">
        <v>10</v>
      </c>
      <c r="B1518" s="195">
        <v>99</v>
      </c>
      <c r="C1518" s="195" t="s">
        <v>1971</v>
      </c>
      <c r="D1518" s="64">
        <v>1600</v>
      </c>
      <c r="E1518" s="195" t="s">
        <v>373</v>
      </c>
      <c r="F1518" s="71" t="s">
        <v>508</v>
      </c>
      <c r="G1518" s="71" t="s">
        <v>1895</v>
      </c>
      <c r="H1518" s="71" t="s">
        <v>397</v>
      </c>
      <c r="I1518" s="71" t="s">
        <v>1875</v>
      </c>
    </row>
    <row r="1519" spans="1:9" ht="43.5" x14ac:dyDescent="0.35">
      <c r="A1519" s="195">
        <v>10</v>
      </c>
      <c r="B1519" s="195">
        <v>100</v>
      </c>
      <c r="C1519" s="195" t="s">
        <v>1972</v>
      </c>
      <c r="D1519" s="195">
        <v>125</v>
      </c>
      <c r="E1519" s="195" t="s">
        <v>373</v>
      </c>
      <c r="F1519" s="71" t="s">
        <v>508</v>
      </c>
      <c r="G1519" s="71" t="s">
        <v>1895</v>
      </c>
      <c r="H1519" s="71" t="s">
        <v>397</v>
      </c>
      <c r="I1519" s="71" t="s">
        <v>1877</v>
      </c>
    </row>
    <row r="1520" spans="1:9" ht="43.5" x14ac:dyDescent="0.35">
      <c r="A1520" s="195">
        <v>10</v>
      </c>
      <c r="B1520" s="195">
        <v>101</v>
      </c>
      <c r="C1520" s="195" t="s">
        <v>1973</v>
      </c>
      <c r="D1520" s="64">
        <v>1970</v>
      </c>
      <c r="E1520" s="195" t="s">
        <v>366</v>
      </c>
      <c r="F1520" s="71" t="s">
        <v>508</v>
      </c>
      <c r="G1520" s="71" t="s">
        <v>1895</v>
      </c>
      <c r="H1520" s="71" t="s">
        <v>406</v>
      </c>
      <c r="I1520" s="71" t="s">
        <v>1867</v>
      </c>
    </row>
    <row r="1521" spans="1:9" ht="43.5" x14ac:dyDescent="0.35">
      <c r="A1521" s="195">
        <v>10</v>
      </c>
      <c r="B1521" s="195">
        <v>102</v>
      </c>
      <c r="C1521" s="195" t="s">
        <v>1974</v>
      </c>
      <c r="D1521" s="64">
        <v>1425</v>
      </c>
      <c r="E1521" s="195" t="s">
        <v>373</v>
      </c>
      <c r="F1521" s="71" t="s">
        <v>508</v>
      </c>
      <c r="G1521" s="71" t="s">
        <v>1895</v>
      </c>
      <c r="H1521" s="71" t="s">
        <v>406</v>
      </c>
      <c r="I1521" s="71" t="s">
        <v>1873</v>
      </c>
    </row>
    <row r="1522" spans="1:9" ht="43.5" x14ac:dyDescent="0.35">
      <c r="A1522" s="195">
        <v>10</v>
      </c>
      <c r="B1522" s="195">
        <v>103</v>
      </c>
      <c r="C1522" s="195" t="s">
        <v>1975</v>
      </c>
      <c r="D1522" s="195">
        <v>490</v>
      </c>
      <c r="E1522" s="195" t="s">
        <v>373</v>
      </c>
      <c r="F1522" s="71" t="s">
        <v>508</v>
      </c>
      <c r="G1522" s="71" t="s">
        <v>1895</v>
      </c>
      <c r="H1522" s="71" t="s">
        <v>406</v>
      </c>
      <c r="I1522" s="71" t="s">
        <v>1875</v>
      </c>
    </row>
    <row r="1523" spans="1:9" ht="43.5" x14ac:dyDescent="0.35">
      <c r="A1523" s="195">
        <v>10</v>
      </c>
      <c r="B1523" s="195">
        <v>104</v>
      </c>
      <c r="C1523" s="195" t="s">
        <v>1976</v>
      </c>
      <c r="D1523" s="195">
        <v>55</v>
      </c>
      <c r="E1523" s="195" t="s">
        <v>373</v>
      </c>
      <c r="F1523" s="71" t="s">
        <v>508</v>
      </c>
      <c r="G1523" s="71" t="s">
        <v>1895</v>
      </c>
      <c r="H1523" s="71" t="s">
        <v>406</v>
      </c>
      <c r="I1523" s="71" t="s">
        <v>1877</v>
      </c>
    </row>
    <row r="1524" spans="1:9" ht="29" x14ac:dyDescent="0.35">
      <c r="A1524" s="195">
        <v>10</v>
      </c>
      <c r="B1524" s="195">
        <v>105</v>
      </c>
      <c r="C1524" s="195" t="s">
        <v>1977</v>
      </c>
      <c r="D1524" s="64">
        <v>3030</v>
      </c>
      <c r="E1524" s="195" t="s">
        <v>366</v>
      </c>
      <c r="F1524" s="71" t="s">
        <v>508</v>
      </c>
      <c r="G1524" s="71" t="s">
        <v>1895</v>
      </c>
      <c r="H1524" s="71" t="s">
        <v>415</v>
      </c>
      <c r="I1524" s="71" t="s">
        <v>1867</v>
      </c>
    </row>
    <row r="1525" spans="1:9" ht="29" x14ac:dyDescent="0.35">
      <c r="A1525" s="195">
        <v>10</v>
      </c>
      <c r="B1525" s="195">
        <v>106</v>
      </c>
      <c r="C1525" s="195" t="s">
        <v>1978</v>
      </c>
      <c r="D1525" s="64">
        <v>2075</v>
      </c>
      <c r="E1525" s="195" t="s">
        <v>373</v>
      </c>
      <c r="F1525" s="71" t="s">
        <v>508</v>
      </c>
      <c r="G1525" s="71" t="s">
        <v>1895</v>
      </c>
      <c r="H1525" s="71" t="s">
        <v>415</v>
      </c>
      <c r="I1525" s="71" t="s">
        <v>1873</v>
      </c>
    </row>
    <row r="1526" spans="1:9" ht="43.5" x14ac:dyDescent="0.35">
      <c r="A1526" s="195">
        <v>10</v>
      </c>
      <c r="B1526" s="195">
        <v>107</v>
      </c>
      <c r="C1526" s="195" t="s">
        <v>1979</v>
      </c>
      <c r="D1526" s="195">
        <v>695</v>
      </c>
      <c r="E1526" s="195" t="s">
        <v>373</v>
      </c>
      <c r="F1526" s="71" t="s">
        <v>508</v>
      </c>
      <c r="G1526" s="71" t="s">
        <v>1895</v>
      </c>
      <c r="H1526" s="71" t="s">
        <v>415</v>
      </c>
      <c r="I1526" s="71" t="s">
        <v>1875</v>
      </c>
    </row>
    <row r="1527" spans="1:9" ht="29" x14ac:dyDescent="0.35">
      <c r="A1527" s="195">
        <v>10</v>
      </c>
      <c r="B1527" s="195">
        <v>108</v>
      </c>
      <c r="C1527" s="195" t="s">
        <v>1980</v>
      </c>
      <c r="D1527" s="195">
        <v>260</v>
      </c>
      <c r="E1527" s="195" t="s">
        <v>373</v>
      </c>
      <c r="F1527" s="71" t="s">
        <v>508</v>
      </c>
      <c r="G1527" s="71" t="s">
        <v>1895</v>
      </c>
      <c r="H1527" s="71" t="s">
        <v>415</v>
      </c>
      <c r="I1527" s="71" t="s">
        <v>1877</v>
      </c>
    </row>
    <row r="1528" spans="1:9" x14ac:dyDescent="0.35">
      <c r="A1528" s="195">
        <v>10</v>
      </c>
      <c r="B1528" s="195">
        <v>109</v>
      </c>
      <c r="C1528" s="195" t="s">
        <v>1981</v>
      </c>
      <c r="D1528" s="64">
        <v>14990</v>
      </c>
      <c r="E1528" s="195" t="s">
        <v>366</v>
      </c>
      <c r="F1528" s="71" t="s">
        <v>508</v>
      </c>
      <c r="G1528" s="71" t="s">
        <v>1917</v>
      </c>
      <c r="H1528" s="71" t="s">
        <v>363</v>
      </c>
      <c r="I1528" s="71" t="s">
        <v>1867</v>
      </c>
    </row>
    <row r="1529" spans="1:9" ht="29" x14ac:dyDescent="0.35">
      <c r="A1529" s="195">
        <v>10</v>
      </c>
      <c r="B1529" s="195">
        <v>110</v>
      </c>
      <c r="C1529" s="195" t="s">
        <v>1982</v>
      </c>
      <c r="D1529" s="64">
        <v>5110</v>
      </c>
      <c r="E1529" s="195" t="s">
        <v>366</v>
      </c>
      <c r="F1529" s="71" t="s">
        <v>508</v>
      </c>
      <c r="G1529" s="71" t="s">
        <v>1917</v>
      </c>
      <c r="H1529" s="71" t="s">
        <v>371</v>
      </c>
      <c r="I1529" s="71" t="s">
        <v>1867</v>
      </c>
    </row>
    <row r="1530" spans="1:9" ht="29" x14ac:dyDescent="0.35">
      <c r="A1530" s="195">
        <v>10</v>
      </c>
      <c r="B1530" s="195">
        <v>111</v>
      </c>
      <c r="C1530" s="195" t="s">
        <v>1983</v>
      </c>
      <c r="D1530" s="64">
        <v>3925</v>
      </c>
      <c r="E1530" s="195" t="s">
        <v>373</v>
      </c>
      <c r="F1530" s="71" t="s">
        <v>508</v>
      </c>
      <c r="G1530" s="71" t="s">
        <v>1917</v>
      </c>
      <c r="H1530" s="71" t="s">
        <v>371</v>
      </c>
      <c r="I1530" s="71" t="s">
        <v>1873</v>
      </c>
    </row>
    <row r="1531" spans="1:9" ht="43.5" x14ac:dyDescent="0.35">
      <c r="A1531" s="195">
        <v>10</v>
      </c>
      <c r="B1531" s="195">
        <v>112</v>
      </c>
      <c r="C1531" s="195" t="s">
        <v>1984</v>
      </c>
      <c r="D1531" s="195">
        <v>525</v>
      </c>
      <c r="E1531" s="195" t="s">
        <v>373</v>
      </c>
      <c r="F1531" s="71" t="s">
        <v>508</v>
      </c>
      <c r="G1531" s="71" t="s">
        <v>1917</v>
      </c>
      <c r="H1531" s="71" t="s">
        <v>371</v>
      </c>
      <c r="I1531" s="71" t="s">
        <v>1875</v>
      </c>
    </row>
    <row r="1532" spans="1:9" ht="29" x14ac:dyDescent="0.35">
      <c r="A1532" s="195">
        <v>10</v>
      </c>
      <c r="B1532" s="195">
        <v>113</v>
      </c>
      <c r="C1532" s="195" t="s">
        <v>1985</v>
      </c>
      <c r="D1532" s="195">
        <v>655</v>
      </c>
      <c r="E1532" s="195" t="s">
        <v>373</v>
      </c>
      <c r="F1532" s="71" t="s">
        <v>508</v>
      </c>
      <c r="G1532" s="71" t="s">
        <v>1917</v>
      </c>
      <c r="H1532" s="71" t="s">
        <v>371</v>
      </c>
      <c r="I1532" s="71" t="s">
        <v>1877</v>
      </c>
    </row>
    <row r="1533" spans="1:9" ht="43.5" x14ac:dyDescent="0.35">
      <c r="A1533" s="195">
        <v>10</v>
      </c>
      <c r="B1533" s="195">
        <v>114</v>
      </c>
      <c r="C1533" s="195" t="s">
        <v>1986</v>
      </c>
      <c r="D1533" s="64">
        <v>3460</v>
      </c>
      <c r="E1533" s="195" t="s">
        <v>366</v>
      </c>
      <c r="F1533" s="71" t="s">
        <v>508</v>
      </c>
      <c r="G1533" s="71" t="s">
        <v>1917</v>
      </c>
      <c r="H1533" s="71" t="s">
        <v>388</v>
      </c>
      <c r="I1533" s="71" t="s">
        <v>1867</v>
      </c>
    </row>
    <row r="1534" spans="1:9" ht="43.5" x14ac:dyDescent="0.35">
      <c r="A1534" s="195">
        <v>10</v>
      </c>
      <c r="B1534" s="195">
        <v>115</v>
      </c>
      <c r="C1534" s="195" t="s">
        <v>1987</v>
      </c>
      <c r="D1534" s="64">
        <v>2615</v>
      </c>
      <c r="E1534" s="195" t="s">
        <v>373</v>
      </c>
      <c r="F1534" s="71" t="s">
        <v>508</v>
      </c>
      <c r="G1534" s="71" t="s">
        <v>1917</v>
      </c>
      <c r="H1534" s="71" t="s">
        <v>388</v>
      </c>
      <c r="I1534" s="71" t="s">
        <v>1873</v>
      </c>
    </row>
    <row r="1535" spans="1:9" ht="43.5" x14ac:dyDescent="0.35">
      <c r="A1535" s="195">
        <v>10</v>
      </c>
      <c r="B1535" s="195">
        <v>116</v>
      </c>
      <c r="C1535" s="195" t="s">
        <v>1988</v>
      </c>
      <c r="D1535" s="195">
        <v>320</v>
      </c>
      <c r="E1535" s="195" t="s">
        <v>373</v>
      </c>
      <c r="F1535" s="71" t="s">
        <v>508</v>
      </c>
      <c r="G1535" s="71" t="s">
        <v>1917</v>
      </c>
      <c r="H1535" s="71" t="s">
        <v>388</v>
      </c>
      <c r="I1535" s="71" t="s">
        <v>1875</v>
      </c>
    </row>
    <row r="1536" spans="1:9" ht="43.5" x14ac:dyDescent="0.35">
      <c r="A1536" s="195">
        <v>10</v>
      </c>
      <c r="B1536" s="195">
        <v>117</v>
      </c>
      <c r="C1536" s="195" t="s">
        <v>1989</v>
      </c>
      <c r="D1536" s="195">
        <v>525</v>
      </c>
      <c r="E1536" s="195" t="s">
        <v>373</v>
      </c>
      <c r="F1536" s="71" t="s">
        <v>508</v>
      </c>
      <c r="G1536" s="71" t="s">
        <v>1917</v>
      </c>
      <c r="H1536" s="71" t="s">
        <v>388</v>
      </c>
      <c r="I1536" s="71" t="s">
        <v>1877</v>
      </c>
    </row>
    <row r="1537" spans="1:9" ht="43.5" x14ac:dyDescent="0.35">
      <c r="A1537" s="195">
        <v>10</v>
      </c>
      <c r="B1537" s="195">
        <v>118</v>
      </c>
      <c r="C1537" s="195" t="s">
        <v>1990</v>
      </c>
      <c r="D1537" s="64">
        <v>2790</v>
      </c>
      <c r="E1537" s="195" t="s">
        <v>366</v>
      </c>
      <c r="F1537" s="71" t="s">
        <v>508</v>
      </c>
      <c r="G1537" s="71" t="s">
        <v>1917</v>
      </c>
      <c r="H1537" s="71" t="s">
        <v>397</v>
      </c>
      <c r="I1537" s="71" t="s">
        <v>1867</v>
      </c>
    </row>
    <row r="1538" spans="1:9" ht="43.5" x14ac:dyDescent="0.35">
      <c r="A1538" s="195">
        <v>10</v>
      </c>
      <c r="B1538" s="195">
        <v>119</v>
      </c>
      <c r="C1538" s="195" t="s">
        <v>1991</v>
      </c>
      <c r="D1538" s="64">
        <v>1945</v>
      </c>
      <c r="E1538" s="195" t="s">
        <v>373</v>
      </c>
      <c r="F1538" s="71" t="s">
        <v>508</v>
      </c>
      <c r="G1538" s="71" t="s">
        <v>1917</v>
      </c>
      <c r="H1538" s="71" t="s">
        <v>397</v>
      </c>
      <c r="I1538" s="71" t="s">
        <v>1873</v>
      </c>
    </row>
    <row r="1539" spans="1:9" ht="43.5" x14ac:dyDescent="0.35">
      <c r="A1539" s="195">
        <v>10</v>
      </c>
      <c r="B1539" s="195">
        <v>120</v>
      </c>
      <c r="C1539" s="195" t="s">
        <v>1992</v>
      </c>
      <c r="D1539" s="195">
        <v>350</v>
      </c>
      <c r="E1539" s="195" t="s">
        <v>373</v>
      </c>
      <c r="F1539" s="71" t="s">
        <v>508</v>
      </c>
      <c r="G1539" s="71" t="s">
        <v>1917</v>
      </c>
      <c r="H1539" s="71" t="s">
        <v>397</v>
      </c>
      <c r="I1539" s="71" t="s">
        <v>1875</v>
      </c>
    </row>
    <row r="1540" spans="1:9" ht="43.5" x14ac:dyDescent="0.35">
      <c r="A1540" s="195">
        <v>10</v>
      </c>
      <c r="B1540" s="195">
        <v>121</v>
      </c>
      <c r="C1540" s="195" t="s">
        <v>1993</v>
      </c>
      <c r="D1540" s="195">
        <v>495</v>
      </c>
      <c r="E1540" s="195" t="s">
        <v>373</v>
      </c>
      <c r="F1540" s="71" t="s">
        <v>508</v>
      </c>
      <c r="G1540" s="71" t="s">
        <v>1917</v>
      </c>
      <c r="H1540" s="71" t="s">
        <v>397</v>
      </c>
      <c r="I1540" s="71" t="s">
        <v>1877</v>
      </c>
    </row>
    <row r="1541" spans="1:9" ht="43.5" x14ac:dyDescent="0.35">
      <c r="A1541" s="195">
        <v>10</v>
      </c>
      <c r="B1541" s="195">
        <v>122</v>
      </c>
      <c r="C1541" s="195" t="s">
        <v>1994</v>
      </c>
      <c r="D1541" s="64">
        <v>1160</v>
      </c>
      <c r="E1541" s="195" t="s">
        <v>366</v>
      </c>
      <c r="F1541" s="71" t="s">
        <v>508</v>
      </c>
      <c r="G1541" s="71" t="s">
        <v>1917</v>
      </c>
      <c r="H1541" s="71" t="s">
        <v>406</v>
      </c>
      <c r="I1541" s="71" t="s">
        <v>1867</v>
      </c>
    </row>
    <row r="1542" spans="1:9" ht="43.5" x14ac:dyDescent="0.35">
      <c r="A1542" s="195">
        <v>10</v>
      </c>
      <c r="B1542" s="195">
        <v>123</v>
      </c>
      <c r="C1542" s="195" t="s">
        <v>1995</v>
      </c>
      <c r="D1542" s="195">
        <v>755</v>
      </c>
      <c r="E1542" s="195" t="s">
        <v>373</v>
      </c>
      <c r="F1542" s="71" t="s">
        <v>508</v>
      </c>
      <c r="G1542" s="71" t="s">
        <v>1917</v>
      </c>
      <c r="H1542" s="71" t="s">
        <v>406</v>
      </c>
      <c r="I1542" s="71" t="s">
        <v>1873</v>
      </c>
    </row>
    <row r="1543" spans="1:9" ht="43.5" x14ac:dyDescent="0.35">
      <c r="A1543" s="195">
        <v>10</v>
      </c>
      <c r="B1543" s="195">
        <v>124</v>
      </c>
      <c r="C1543" s="195" t="s">
        <v>1996</v>
      </c>
      <c r="D1543" s="195">
        <v>70</v>
      </c>
      <c r="E1543" s="195" t="s">
        <v>373</v>
      </c>
      <c r="F1543" s="71" t="s">
        <v>508</v>
      </c>
      <c r="G1543" s="71" t="s">
        <v>1917</v>
      </c>
      <c r="H1543" s="71" t="s">
        <v>406</v>
      </c>
      <c r="I1543" s="71" t="s">
        <v>1875</v>
      </c>
    </row>
    <row r="1544" spans="1:9" ht="43.5" x14ac:dyDescent="0.35">
      <c r="A1544" s="195">
        <v>10</v>
      </c>
      <c r="B1544" s="195">
        <v>125</v>
      </c>
      <c r="C1544" s="195" t="s">
        <v>1997</v>
      </c>
      <c r="D1544" s="195">
        <v>335</v>
      </c>
      <c r="E1544" s="195" t="s">
        <v>373</v>
      </c>
      <c r="F1544" s="71" t="s">
        <v>508</v>
      </c>
      <c r="G1544" s="71" t="s">
        <v>1917</v>
      </c>
      <c r="H1544" s="71" t="s">
        <v>406</v>
      </c>
      <c r="I1544" s="71" t="s">
        <v>1877</v>
      </c>
    </row>
    <row r="1545" spans="1:9" ht="29" x14ac:dyDescent="0.35">
      <c r="A1545" s="195">
        <v>10</v>
      </c>
      <c r="B1545" s="195">
        <v>126</v>
      </c>
      <c r="C1545" s="195" t="s">
        <v>1998</v>
      </c>
      <c r="D1545" s="64">
        <v>2470</v>
      </c>
      <c r="E1545" s="195" t="s">
        <v>366</v>
      </c>
      <c r="F1545" s="71" t="s">
        <v>508</v>
      </c>
      <c r="G1545" s="71" t="s">
        <v>1917</v>
      </c>
      <c r="H1545" s="71" t="s">
        <v>415</v>
      </c>
      <c r="I1545" s="71" t="s">
        <v>1867</v>
      </c>
    </row>
    <row r="1546" spans="1:9" ht="29" x14ac:dyDescent="0.35">
      <c r="A1546" s="195">
        <v>10</v>
      </c>
      <c r="B1546" s="195">
        <v>127</v>
      </c>
      <c r="C1546" s="195" t="s">
        <v>1999</v>
      </c>
      <c r="D1546" s="64">
        <v>1315</v>
      </c>
      <c r="E1546" s="195" t="s">
        <v>373</v>
      </c>
      <c r="F1546" s="71" t="s">
        <v>508</v>
      </c>
      <c r="G1546" s="71" t="s">
        <v>1917</v>
      </c>
      <c r="H1546" s="71" t="s">
        <v>415</v>
      </c>
      <c r="I1546" s="71" t="s">
        <v>1873</v>
      </c>
    </row>
    <row r="1547" spans="1:9" ht="43.5" x14ac:dyDescent="0.35">
      <c r="A1547" s="195">
        <v>10</v>
      </c>
      <c r="B1547" s="195">
        <v>128</v>
      </c>
      <c r="C1547" s="195" t="s">
        <v>2000</v>
      </c>
      <c r="D1547" s="195">
        <v>230</v>
      </c>
      <c r="E1547" s="195" t="s">
        <v>373</v>
      </c>
      <c r="F1547" s="71" t="s">
        <v>508</v>
      </c>
      <c r="G1547" s="71" t="s">
        <v>1917</v>
      </c>
      <c r="H1547" s="71" t="s">
        <v>415</v>
      </c>
      <c r="I1547" s="71" t="s">
        <v>1875</v>
      </c>
    </row>
    <row r="1548" spans="1:9" ht="29" x14ac:dyDescent="0.35">
      <c r="A1548" s="195">
        <v>10</v>
      </c>
      <c r="B1548" s="195">
        <v>129</v>
      </c>
      <c r="C1548" s="195" t="s">
        <v>2001</v>
      </c>
      <c r="D1548" s="195">
        <v>930</v>
      </c>
      <c r="E1548" s="195" t="s">
        <v>373</v>
      </c>
      <c r="F1548" s="71" t="s">
        <v>508</v>
      </c>
      <c r="G1548" s="71" t="s">
        <v>1917</v>
      </c>
      <c r="H1548" s="71" t="s">
        <v>415</v>
      </c>
      <c r="I1548" s="71" t="s">
        <v>1877</v>
      </c>
    </row>
    <row r="1549" spans="1:9" ht="29" x14ac:dyDescent="0.35">
      <c r="A1549" s="195">
        <v>11</v>
      </c>
      <c r="B1549" s="195">
        <v>1</v>
      </c>
      <c r="C1549" s="195" t="s">
        <v>2002</v>
      </c>
      <c r="D1549" s="64">
        <v>1951605</v>
      </c>
      <c r="E1549" s="195" t="s">
        <v>26</v>
      </c>
      <c r="F1549" s="71" t="s">
        <v>361</v>
      </c>
      <c r="G1549" s="71" t="s">
        <v>362</v>
      </c>
      <c r="H1549" s="71" t="s">
        <v>363</v>
      </c>
    </row>
    <row r="1550" spans="1:9" x14ac:dyDescent="0.35">
      <c r="A1550" s="195">
        <v>11</v>
      </c>
      <c r="B1550" s="195">
        <v>2</v>
      </c>
      <c r="C1550" s="195" t="s">
        <v>2003</v>
      </c>
      <c r="D1550" s="64">
        <v>1105170</v>
      </c>
      <c r="E1550" s="195" t="s">
        <v>366</v>
      </c>
      <c r="F1550" s="71" t="s">
        <v>367</v>
      </c>
      <c r="G1550" s="71" t="s">
        <v>362</v>
      </c>
      <c r="H1550" s="71" t="s">
        <v>363</v>
      </c>
    </row>
    <row r="1551" spans="1:9" ht="29" x14ac:dyDescent="0.35">
      <c r="A1551" s="195">
        <v>11</v>
      </c>
      <c r="B1551" s="195">
        <v>3</v>
      </c>
      <c r="C1551" s="195" t="s">
        <v>2004</v>
      </c>
      <c r="D1551" s="64">
        <v>362505</v>
      </c>
      <c r="E1551" s="195" t="s">
        <v>366</v>
      </c>
      <c r="F1551" s="71" t="s">
        <v>367</v>
      </c>
      <c r="G1551" s="71" t="s">
        <v>2005</v>
      </c>
      <c r="H1551" s="71" t="s">
        <v>363</v>
      </c>
    </row>
    <row r="1552" spans="1:9" ht="29" x14ac:dyDescent="0.35">
      <c r="A1552" s="195">
        <v>11</v>
      </c>
      <c r="B1552" s="195">
        <v>4</v>
      </c>
      <c r="C1552" s="195" t="s">
        <v>2006</v>
      </c>
      <c r="D1552" s="64">
        <v>42020</v>
      </c>
      <c r="E1552" s="195" t="s">
        <v>373</v>
      </c>
      <c r="F1552" s="71" t="s">
        <v>367</v>
      </c>
      <c r="G1552" s="71" t="s">
        <v>2005</v>
      </c>
      <c r="H1552" s="71" t="s">
        <v>2007</v>
      </c>
    </row>
    <row r="1553" spans="1:8" ht="43.5" x14ac:dyDescent="0.35">
      <c r="A1553" s="195">
        <v>11</v>
      </c>
      <c r="B1553" s="195">
        <v>5</v>
      </c>
      <c r="C1553" s="195" t="s">
        <v>2008</v>
      </c>
      <c r="D1553" s="64">
        <v>42930</v>
      </c>
      <c r="E1553" s="195" t="s">
        <v>373</v>
      </c>
      <c r="F1553" s="71" t="s">
        <v>367</v>
      </c>
      <c r="G1553" s="71" t="s">
        <v>2005</v>
      </c>
      <c r="H1553" s="71" t="s">
        <v>2009</v>
      </c>
    </row>
    <row r="1554" spans="1:8" ht="43.5" x14ac:dyDescent="0.35">
      <c r="A1554" s="195">
        <v>11</v>
      </c>
      <c r="B1554" s="195">
        <v>6</v>
      </c>
      <c r="C1554" s="195" t="s">
        <v>2010</v>
      </c>
      <c r="D1554" s="64">
        <v>42740</v>
      </c>
      <c r="E1554" s="195" t="s">
        <v>373</v>
      </c>
      <c r="F1554" s="71" t="s">
        <v>367</v>
      </c>
      <c r="G1554" s="71" t="s">
        <v>2005</v>
      </c>
      <c r="H1554" s="71" t="s">
        <v>2011</v>
      </c>
    </row>
    <row r="1555" spans="1:8" ht="43.5" x14ac:dyDescent="0.35">
      <c r="A1555" s="195">
        <v>11</v>
      </c>
      <c r="B1555" s="195">
        <v>7</v>
      </c>
      <c r="C1555" s="195" t="s">
        <v>2012</v>
      </c>
      <c r="D1555" s="64">
        <v>39705</v>
      </c>
      <c r="E1555" s="195" t="s">
        <v>373</v>
      </c>
      <c r="F1555" s="71" t="s">
        <v>367</v>
      </c>
      <c r="G1555" s="71" t="s">
        <v>2005</v>
      </c>
      <c r="H1555" s="71" t="s">
        <v>2013</v>
      </c>
    </row>
    <row r="1556" spans="1:8" ht="43.5" x14ac:dyDescent="0.35">
      <c r="A1556" s="195">
        <v>11</v>
      </c>
      <c r="B1556" s="195">
        <v>8</v>
      </c>
      <c r="C1556" s="195" t="s">
        <v>2014</v>
      </c>
      <c r="D1556" s="64">
        <v>33620</v>
      </c>
      <c r="E1556" s="195" t="s">
        <v>373</v>
      </c>
      <c r="F1556" s="71" t="s">
        <v>367</v>
      </c>
      <c r="G1556" s="71" t="s">
        <v>2005</v>
      </c>
      <c r="H1556" s="71" t="s">
        <v>2015</v>
      </c>
    </row>
    <row r="1557" spans="1:8" ht="43.5" x14ac:dyDescent="0.35">
      <c r="A1557" s="195">
        <v>11</v>
      </c>
      <c r="B1557" s="195">
        <v>9</v>
      </c>
      <c r="C1557" s="195" t="s">
        <v>2016</v>
      </c>
      <c r="D1557" s="64">
        <v>15600</v>
      </c>
      <c r="E1557" s="195" t="s">
        <v>373</v>
      </c>
      <c r="F1557" s="71" t="s">
        <v>367</v>
      </c>
      <c r="G1557" s="71" t="s">
        <v>2005</v>
      </c>
      <c r="H1557" s="71" t="s">
        <v>2017</v>
      </c>
    </row>
    <row r="1558" spans="1:8" ht="43.5" x14ac:dyDescent="0.35">
      <c r="A1558" s="195">
        <v>11</v>
      </c>
      <c r="B1558" s="195">
        <v>10</v>
      </c>
      <c r="C1558" s="195" t="s">
        <v>2018</v>
      </c>
      <c r="D1558" s="64">
        <v>39680</v>
      </c>
      <c r="E1558" s="195" t="s">
        <v>373</v>
      </c>
      <c r="F1558" s="71" t="s">
        <v>367</v>
      </c>
      <c r="G1558" s="71" t="s">
        <v>2005</v>
      </c>
      <c r="H1558" s="71" t="s">
        <v>2019</v>
      </c>
    </row>
    <row r="1559" spans="1:8" ht="43.5" x14ac:dyDescent="0.35">
      <c r="A1559" s="195">
        <v>11</v>
      </c>
      <c r="B1559" s="195">
        <v>11</v>
      </c>
      <c r="C1559" s="195" t="s">
        <v>2020</v>
      </c>
      <c r="D1559" s="64">
        <v>31190</v>
      </c>
      <c r="E1559" s="195" t="s">
        <v>373</v>
      </c>
      <c r="F1559" s="71" t="s">
        <v>367</v>
      </c>
      <c r="G1559" s="71" t="s">
        <v>2005</v>
      </c>
      <c r="H1559" s="71" t="s">
        <v>2021</v>
      </c>
    </row>
    <row r="1560" spans="1:8" ht="43.5" x14ac:dyDescent="0.35">
      <c r="A1560" s="195">
        <v>11</v>
      </c>
      <c r="B1560" s="195">
        <v>12</v>
      </c>
      <c r="C1560" s="195" t="s">
        <v>2022</v>
      </c>
      <c r="D1560" s="64">
        <v>8335</v>
      </c>
      <c r="E1560" s="195" t="s">
        <v>373</v>
      </c>
      <c r="F1560" s="71" t="s">
        <v>367</v>
      </c>
      <c r="G1560" s="71" t="s">
        <v>2005</v>
      </c>
      <c r="H1560" s="71" t="s">
        <v>2023</v>
      </c>
    </row>
    <row r="1561" spans="1:8" ht="43.5" x14ac:dyDescent="0.35">
      <c r="A1561" s="195">
        <v>11</v>
      </c>
      <c r="B1561" s="195">
        <v>13</v>
      </c>
      <c r="C1561" s="195" t="s">
        <v>2024</v>
      </c>
      <c r="D1561" s="64">
        <v>19100</v>
      </c>
      <c r="E1561" s="195" t="s">
        <v>373</v>
      </c>
      <c r="F1561" s="71" t="s">
        <v>367</v>
      </c>
      <c r="G1561" s="71" t="s">
        <v>2005</v>
      </c>
      <c r="H1561" s="71" t="s">
        <v>2025</v>
      </c>
    </row>
    <row r="1562" spans="1:8" ht="43.5" x14ac:dyDescent="0.35">
      <c r="A1562" s="195">
        <v>11</v>
      </c>
      <c r="B1562" s="195">
        <v>14</v>
      </c>
      <c r="C1562" s="195" t="s">
        <v>2026</v>
      </c>
      <c r="D1562" s="64">
        <v>5515</v>
      </c>
      <c r="E1562" s="195" t="s">
        <v>373</v>
      </c>
      <c r="F1562" s="71" t="s">
        <v>367</v>
      </c>
      <c r="G1562" s="71" t="s">
        <v>2005</v>
      </c>
      <c r="H1562" s="71" t="s">
        <v>2027</v>
      </c>
    </row>
    <row r="1563" spans="1:8" ht="43.5" x14ac:dyDescent="0.35">
      <c r="A1563" s="195">
        <v>11</v>
      </c>
      <c r="B1563" s="195">
        <v>15</v>
      </c>
      <c r="C1563" s="195" t="s">
        <v>2028</v>
      </c>
      <c r="D1563" s="64">
        <v>15625</v>
      </c>
      <c r="E1563" s="195" t="s">
        <v>373</v>
      </c>
      <c r="F1563" s="71" t="s">
        <v>367</v>
      </c>
      <c r="G1563" s="71" t="s">
        <v>2005</v>
      </c>
      <c r="H1563" s="71" t="s">
        <v>2029</v>
      </c>
    </row>
    <row r="1564" spans="1:8" ht="29" x14ac:dyDescent="0.35">
      <c r="A1564" s="195">
        <v>11</v>
      </c>
      <c r="B1564" s="195">
        <v>16</v>
      </c>
      <c r="C1564" s="195" t="s">
        <v>2030</v>
      </c>
      <c r="D1564" s="64">
        <v>26445</v>
      </c>
      <c r="E1564" s="195" t="s">
        <v>373</v>
      </c>
      <c r="F1564" s="71" t="s">
        <v>367</v>
      </c>
      <c r="G1564" s="71" t="s">
        <v>2005</v>
      </c>
      <c r="H1564" s="71" t="s">
        <v>2031</v>
      </c>
    </row>
    <row r="1565" spans="1:8" ht="29" x14ac:dyDescent="0.35">
      <c r="A1565" s="195">
        <v>11</v>
      </c>
      <c r="B1565" s="195">
        <v>17</v>
      </c>
      <c r="C1565" s="195" t="s">
        <v>2032</v>
      </c>
      <c r="D1565" s="64">
        <v>732600</v>
      </c>
      <c r="E1565" s="195" t="s">
        <v>366</v>
      </c>
      <c r="F1565" s="71" t="s">
        <v>367</v>
      </c>
      <c r="G1565" s="71" t="s">
        <v>2033</v>
      </c>
      <c r="H1565" s="71" t="s">
        <v>363</v>
      </c>
    </row>
    <row r="1566" spans="1:8" ht="29" x14ac:dyDescent="0.35">
      <c r="A1566" s="195">
        <v>11</v>
      </c>
      <c r="B1566" s="195">
        <v>18</v>
      </c>
      <c r="C1566" s="195" t="s">
        <v>2034</v>
      </c>
      <c r="D1566" s="64">
        <v>1400</v>
      </c>
      <c r="E1566" s="195" t="s">
        <v>373</v>
      </c>
      <c r="F1566" s="71" t="s">
        <v>367</v>
      </c>
      <c r="G1566" s="71" t="s">
        <v>2033</v>
      </c>
      <c r="H1566" s="71" t="s">
        <v>2007</v>
      </c>
    </row>
    <row r="1567" spans="1:8" ht="43.5" x14ac:dyDescent="0.35">
      <c r="A1567" s="195">
        <v>11</v>
      </c>
      <c r="B1567" s="195">
        <v>19</v>
      </c>
      <c r="C1567" s="195" t="s">
        <v>2035</v>
      </c>
      <c r="D1567" s="64">
        <v>7270</v>
      </c>
      <c r="E1567" s="195" t="s">
        <v>373</v>
      </c>
      <c r="F1567" s="71" t="s">
        <v>367</v>
      </c>
      <c r="G1567" s="71" t="s">
        <v>2033</v>
      </c>
      <c r="H1567" s="71" t="s">
        <v>2009</v>
      </c>
    </row>
    <row r="1568" spans="1:8" ht="43.5" x14ac:dyDescent="0.35">
      <c r="A1568" s="195">
        <v>11</v>
      </c>
      <c r="B1568" s="195">
        <v>20</v>
      </c>
      <c r="C1568" s="195" t="s">
        <v>2036</v>
      </c>
      <c r="D1568" s="64">
        <v>15490</v>
      </c>
      <c r="E1568" s="195" t="s">
        <v>373</v>
      </c>
      <c r="F1568" s="71" t="s">
        <v>367</v>
      </c>
      <c r="G1568" s="71" t="s">
        <v>2033</v>
      </c>
      <c r="H1568" s="71" t="s">
        <v>2011</v>
      </c>
    </row>
    <row r="1569" spans="1:8" ht="43.5" x14ac:dyDescent="0.35">
      <c r="A1569" s="195">
        <v>11</v>
      </c>
      <c r="B1569" s="195">
        <v>21</v>
      </c>
      <c r="C1569" s="195" t="s">
        <v>2037</v>
      </c>
      <c r="D1569" s="64">
        <v>20090</v>
      </c>
      <c r="E1569" s="195" t="s">
        <v>373</v>
      </c>
      <c r="F1569" s="71" t="s">
        <v>367</v>
      </c>
      <c r="G1569" s="71" t="s">
        <v>2033</v>
      </c>
      <c r="H1569" s="71" t="s">
        <v>2013</v>
      </c>
    </row>
    <row r="1570" spans="1:8" ht="43.5" x14ac:dyDescent="0.35">
      <c r="A1570" s="195">
        <v>11</v>
      </c>
      <c r="B1570" s="195">
        <v>22</v>
      </c>
      <c r="C1570" s="195" t="s">
        <v>2038</v>
      </c>
      <c r="D1570" s="64">
        <v>25435</v>
      </c>
      <c r="E1570" s="195" t="s">
        <v>373</v>
      </c>
      <c r="F1570" s="71" t="s">
        <v>367</v>
      </c>
      <c r="G1570" s="71" t="s">
        <v>2033</v>
      </c>
      <c r="H1570" s="71" t="s">
        <v>2015</v>
      </c>
    </row>
    <row r="1571" spans="1:8" ht="43.5" x14ac:dyDescent="0.35">
      <c r="A1571" s="195">
        <v>11</v>
      </c>
      <c r="B1571" s="195">
        <v>23</v>
      </c>
      <c r="C1571" s="195" t="s">
        <v>2039</v>
      </c>
      <c r="D1571" s="64">
        <v>14445</v>
      </c>
      <c r="E1571" s="195" t="s">
        <v>373</v>
      </c>
      <c r="F1571" s="71" t="s">
        <v>367</v>
      </c>
      <c r="G1571" s="71" t="s">
        <v>2033</v>
      </c>
      <c r="H1571" s="71" t="s">
        <v>2017</v>
      </c>
    </row>
    <row r="1572" spans="1:8" ht="43.5" x14ac:dyDescent="0.35">
      <c r="A1572" s="195">
        <v>11</v>
      </c>
      <c r="B1572" s="195">
        <v>24</v>
      </c>
      <c r="C1572" s="195" t="s">
        <v>2040</v>
      </c>
      <c r="D1572" s="64">
        <v>45335</v>
      </c>
      <c r="E1572" s="195" t="s">
        <v>373</v>
      </c>
      <c r="F1572" s="71" t="s">
        <v>367</v>
      </c>
      <c r="G1572" s="71" t="s">
        <v>2033</v>
      </c>
      <c r="H1572" s="71" t="s">
        <v>2019</v>
      </c>
    </row>
    <row r="1573" spans="1:8" ht="43.5" x14ac:dyDescent="0.35">
      <c r="A1573" s="195">
        <v>11</v>
      </c>
      <c r="B1573" s="195">
        <v>25</v>
      </c>
      <c r="C1573" s="195" t="s">
        <v>2041</v>
      </c>
      <c r="D1573" s="64">
        <v>56985</v>
      </c>
      <c r="E1573" s="195" t="s">
        <v>373</v>
      </c>
      <c r="F1573" s="71" t="s">
        <v>367</v>
      </c>
      <c r="G1573" s="71" t="s">
        <v>2033</v>
      </c>
      <c r="H1573" s="71" t="s">
        <v>2021</v>
      </c>
    </row>
    <row r="1574" spans="1:8" ht="43.5" x14ac:dyDescent="0.35">
      <c r="A1574" s="195">
        <v>11</v>
      </c>
      <c r="B1574" s="195">
        <v>26</v>
      </c>
      <c r="C1574" s="195" t="s">
        <v>2042</v>
      </c>
      <c r="D1574" s="64">
        <v>17700</v>
      </c>
      <c r="E1574" s="195" t="s">
        <v>373</v>
      </c>
      <c r="F1574" s="71" t="s">
        <v>367</v>
      </c>
      <c r="G1574" s="71" t="s">
        <v>2033</v>
      </c>
      <c r="H1574" s="71" t="s">
        <v>2023</v>
      </c>
    </row>
    <row r="1575" spans="1:8" ht="43.5" x14ac:dyDescent="0.35">
      <c r="A1575" s="195">
        <v>11</v>
      </c>
      <c r="B1575" s="195">
        <v>27</v>
      </c>
      <c r="C1575" s="195" t="s">
        <v>2043</v>
      </c>
      <c r="D1575" s="64">
        <v>57540</v>
      </c>
      <c r="E1575" s="195" t="s">
        <v>373</v>
      </c>
      <c r="F1575" s="71" t="s">
        <v>367</v>
      </c>
      <c r="G1575" s="71" t="s">
        <v>2033</v>
      </c>
      <c r="H1575" s="71" t="s">
        <v>2025</v>
      </c>
    </row>
    <row r="1576" spans="1:8" ht="43.5" x14ac:dyDescent="0.35">
      <c r="A1576" s="195">
        <v>11</v>
      </c>
      <c r="B1576" s="195">
        <v>28</v>
      </c>
      <c r="C1576" s="195" t="s">
        <v>2044</v>
      </c>
      <c r="D1576" s="64">
        <v>18750</v>
      </c>
      <c r="E1576" s="195" t="s">
        <v>373</v>
      </c>
      <c r="F1576" s="71" t="s">
        <v>367</v>
      </c>
      <c r="G1576" s="71" t="s">
        <v>2033</v>
      </c>
      <c r="H1576" s="71" t="s">
        <v>2027</v>
      </c>
    </row>
    <row r="1577" spans="1:8" ht="43.5" x14ac:dyDescent="0.35">
      <c r="A1577" s="195">
        <v>11</v>
      </c>
      <c r="B1577" s="195">
        <v>29</v>
      </c>
      <c r="C1577" s="195" t="s">
        <v>2045</v>
      </c>
      <c r="D1577" s="64">
        <v>76450</v>
      </c>
      <c r="E1577" s="195" t="s">
        <v>373</v>
      </c>
      <c r="F1577" s="71" t="s">
        <v>367</v>
      </c>
      <c r="G1577" s="71" t="s">
        <v>2033</v>
      </c>
      <c r="H1577" s="71" t="s">
        <v>2029</v>
      </c>
    </row>
    <row r="1578" spans="1:8" ht="29" x14ac:dyDescent="0.35">
      <c r="A1578" s="195">
        <v>11</v>
      </c>
      <c r="B1578" s="195">
        <v>30</v>
      </c>
      <c r="C1578" s="195" t="s">
        <v>2046</v>
      </c>
      <c r="D1578" s="64">
        <v>375705</v>
      </c>
      <c r="E1578" s="195" t="s">
        <v>373</v>
      </c>
      <c r="F1578" s="71" t="s">
        <v>367</v>
      </c>
      <c r="G1578" s="71" t="s">
        <v>2033</v>
      </c>
      <c r="H1578" s="71" t="s">
        <v>2031</v>
      </c>
    </row>
    <row r="1579" spans="1:8" ht="43.5" x14ac:dyDescent="0.35">
      <c r="A1579" s="195">
        <v>11</v>
      </c>
      <c r="B1579" s="195">
        <v>31</v>
      </c>
      <c r="C1579" s="195" t="s">
        <v>2047</v>
      </c>
      <c r="D1579" s="64">
        <v>10065</v>
      </c>
      <c r="E1579" s="195" t="s">
        <v>366</v>
      </c>
      <c r="F1579" s="71" t="s">
        <v>367</v>
      </c>
      <c r="G1579" s="71" t="s">
        <v>2048</v>
      </c>
      <c r="H1579" s="71" t="s">
        <v>363</v>
      </c>
    </row>
    <row r="1580" spans="1:8" ht="43.5" x14ac:dyDescent="0.35">
      <c r="A1580" s="195">
        <v>11</v>
      </c>
      <c r="B1580" s="195">
        <v>32</v>
      </c>
      <c r="C1580" s="195" t="s">
        <v>2049</v>
      </c>
      <c r="D1580" s="64">
        <v>10065</v>
      </c>
      <c r="E1580" s="195" t="s">
        <v>373</v>
      </c>
      <c r="F1580" s="71" t="s">
        <v>367</v>
      </c>
      <c r="G1580" s="71" t="s">
        <v>2048</v>
      </c>
      <c r="H1580" s="71" t="s">
        <v>2007</v>
      </c>
    </row>
    <row r="1581" spans="1:8" ht="43.5" x14ac:dyDescent="0.35">
      <c r="A1581" s="195">
        <v>11</v>
      </c>
      <c r="B1581" s="195">
        <v>33</v>
      </c>
      <c r="C1581" s="195" t="s">
        <v>2050</v>
      </c>
      <c r="D1581" s="195">
        <v>0</v>
      </c>
      <c r="E1581" s="195" t="s">
        <v>373</v>
      </c>
      <c r="F1581" s="71" t="s">
        <v>367</v>
      </c>
      <c r="G1581" s="71" t="s">
        <v>2048</v>
      </c>
      <c r="H1581" s="71" t="s">
        <v>2009</v>
      </c>
    </row>
    <row r="1582" spans="1:8" ht="43.5" x14ac:dyDescent="0.35">
      <c r="A1582" s="195">
        <v>11</v>
      </c>
      <c r="B1582" s="195">
        <v>34</v>
      </c>
      <c r="C1582" s="195" t="s">
        <v>2051</v>
      </c>
      <c r="D1582" s="195">
        <v>0</v>
      </c>
      <c r="E1582" s="195" t="s">
        <v>373</v>
      </c>
      <c r="F1582" s="71" t="s">
        <v>367</v>
      </c>
      <c r="G1582" s="71" t="s">
        <v>2048</v>
      </c>
      <c r="H1582" s="71" t="s">
        <v>2011</v>
      </c>
    </row>
    <row r="1583" spans="1:8" ht="43.5" x14ac:dyDescent="0.35">
      <c r="A1583" s="195">
        <v>11</v>
      </c>
      <c r="B1583" s="195">
        <v>35</v>
      </c>
      <c r="C1583" s="195" t="s">
        <v>2052</v>
      </c>
      <c r="D1583" s="195">
        <v>0</v>
      </c>
      <c r="E1583" s="195" t="s">
        <v>373</v>
      </c>
      <c r="F1583" s="71" t="s">
        <v>367</v>
      </c>
      <c r="G1583" s="71" t="s">
        <v>2048</v>
      </c>
      <c r="H1583" s="71" t="s">
        <v>2013</v>
      </c>
    </row>
    <row r="1584" spans="1:8" ht="43.5" x14ac:dyDescent="0.35">
      <c r="A1584" s="195">
        <v>11</v>
      </c>
      <c r="B1584" s="195">
        <v>36</v>
      </c>
      <c r="C1584" s="195" t="s">
        <v>2053</v>
      </c>
      <c r="D1584" s="195">
        <v>0</v>
      </c>
      <c r="E1584" s="195" t="s">
        <v>373</v>
      </c>
      <c r="F1584" s="71" t="s">
        <v>367</v>
      </c>
      <c r="G1584" s="71" t="s">
        <v>2048</v>
      </c>
      <c r="H1584" s="71" t="s">
        <v>2015</v>
      </c>
    </row>
    <row r="1585" spans="1:8" ht="43.5" x14ac:dyDescent="0.35">
      <c r="A1585" s="195">
        <v>11</v>
      </c>
      <c r="B1585" s="195">
        <v>37</v>
      </c>
      <c r="C1585" s="195" t="s">
        <v>2054</v>
      </c>
      <c r="D1585" s="195">
        <v>0</v>
      </c>
      <c r="E1585" s="195" t="s">
        <v>373</v>
      </c>
      <c r="F1585" s="71" t="s">
        <v>367</v>
      </c>
      <c r="G1585" s="71" t="s">
        <v>2048</v>
      </c>
      <c r="H1585" s="71" t="s">
        <v>2017</v>
      </c>
    </row>
    <row r="1586" spans="1:8" ht="43.5" x14ac:dyDescent="0.35">
      <c r="A1586" s="195">
        <v>11</v>
      </c>
      <c r="B1586" s="195">
        <v>38</v>
      </c>
      <c r="C1586" s="195" t="s">
        <v>2055</v>
      </c>
      <c r="D1586" s="195">
        <v>0</v>
      </c>
      <c r="E1586" s="195" t="s">
        <v>373</v>
      </c>
      <c r="F1586" s="71" t="s">
        <v>367</v>
      </c>
      <c r="G1586" s="71" t="s">
        <v>2048</v>
      </c>
      <c r="H1586" s="71" t="s">
        <v>2019</v>
      </c>
    </row>
    <row r="1587" spans="1:8" ht="43.5" x14ac:dyDescent="0.35">
      <c r="A1587" s="195">
        <v>11</v>
      </c>
      <c r="B1587" s="195">
        <v>39</v>
      </c>
      <c r="C1587" s="195" t="s">
        <v>2056</v>
      </c>
      <c r="D1587" s="195">
        <v>0</v>
      </c>
      <c r="E1587" s="195" t="s">
        <v>373</v>
      </c>
      <c r="F1587" s="71" t="s">
        <v>367</v>
      </c>
      <c r="G1587" s="71" t="s">
        <v>2048</v>
      </c>
      <c r="H1587" s="71" t="s">
        <v>2021</v>
      </c>
    </row>
    <row r="1588" spans="1:8" ht="43.5" x14ac:dyDescent="0.35">
      <c r="A1588" s="195">
        <v>11</v>
      </c>
      <c r="B1588" s="195">
        <v>40</v>
      </c>
      <c r="C1588" s="195" t="s">
        <v>2057</v>
      </c>
      <c r="D1588" s="195">
        <v>0</v>
      </c>
      <c r="E1588" s="195" t="s">
        <v>373</v>
      </c>
      <c r="F1588" s="71" t="s">
        <v>367</v>
      </c>
      <c r="G1588" s="71" t="s">
        <v>2048</v>
      </c>
      <c r="H1588" s="71" t="s">
        <v>2023</v>
      </c>
    </row>
    <row r="1589" spans="1:8" ht="43.5" x14ac:dyDescent="0.35">
      <c r="A1589" s="195">
        <v>11</v>
      </c>
      <c r="B1589" s="195">
        <v>41</v>
      </c>
      <c r="C1589" s="195" t="s">
        <v>2058</v>
      </c>
      <c r="D1589" s="195">
        <v>0</v>
      </c>
      <c r="E1589" s="195" t="s">
        <v>373</v>
      </c>
      <c r="F1589" s="71" t="s">
        <v>367</v>
      </c>
      <c r="G1589" s="71" t="s">
        <v>2048</v>
      </c>
      <c r="H1589" s="71" t="s">
        <v>2025</v>
      </c>
    </row>
    <row r="1590" spans="1:8" ht="43.5" x14ac:dyDescent="0.35">
      <c r="A1590" s="195">
        <v>11</v>
      </c>
      <c r="B1590" s="195">
        <v>42</v>
      </c>
      <c r="C1590" s="195" t="s">
        <v>2059</v>
      </c>
      <c r="D1590" s="195">
        <v>0</v>
      </c>
      <c r="E1590" s="195" t="s">
        <v>373</v>
      </c>
      <c r="F1590" s="71" t="s">
        <v>367</v>
      </c>
      <c r="G1590" s="71" t="s">
        <v>2048</v>
      </c>
      <c r="H1590" s="71" t="s">
        <v>2027</v>
      </c>
    </row>
    <row r="1591" spans="1:8" ht="43.5" x14ac:dyDescent="0.35">
      <c r="A1591" s="195">
        <v>11</v>
      </c>
      <c r="B1591" s="195">
        <v>43</v>
      </c>
      <c r="C1591" s="195" t="s">
        <v>2060</v>
      </c>
      <c r="D1591" s="195">
        <v>0</v>
      </c>
      <c r="E1591" s="195" t="s">
        <v>373</v>
      </c>
      <c r="F1591" s="71" t="s">
        <v>367</v>
      </c>
      <c r="G1591" s="71" t="s">
        <v>2048</v>
      </c>
      <c r="H1591" s="71" t="s">
        <v>2029</v>
      </c>
    </row>
    <row r="1592" spans="1:8" ht="43.5" x14ac:dyDescent="0.35">
      <c r="A1592" s="195">
        <v>11</v>
      </c>
      <c r="B1592" s="195">
        <v>44</v>
      </c>
      <c r="C1592" s="195" t="s">
        <v>2061</v>
      </c>
      <c r="D1592" s="195">
        <v>0</v>
      </c>
      <c r="E1592" s="195" t="s">
        <v>373</v>
      </c>
      <c r="F1592" s="71" t="s">
        <v>367</v>
      </c>
      <c r="G1592" s="71" t="s">
        <v>2048</v>
      </c>
      <c r="H1592" s="71" t="s">
        <v>2031</v>
      </c>
    </row>
    <row r="1593" spans="1:8" x14ac:dyDescent="0.35">
      <c r="A1593" s="195">
        <v>11</v>
      </c>
      <c r="B1593" s="195">
        <v>45</v>
      </c>
      <c r="C1593" s="195" t="s">
        <v>2062</v>
      </c>
      <c r="D1593" s="64">
        <v>846440</v>
      </c>
      <c r="E1593" s="195" t="s">
        <v>366</v>
      </c>
      <c r="F1593" s="71" t="s">
        <v>508</v>
      </c>
      <c r="G1593" s="71" t="s">
        <v>362</v>
      </c>
      <c r="H1593" s="71" t="s">
        <v>363</v>
      </c>
    </row>
    <row r="1594" spans="1:8" ht="29" x14ac:dyDescent="0.35">
      <c r="A1594" s="195">
        <v>11</v>
      </c>
      <c r="B1594" s="195">
        <v>46</v>
      </c>
      <c r="C1594" s="195" t="s">
        <v>2063</v>
      </c>
      <c r="D1594" s="64">
        <v>419265</v>
      </c>
      <c r="E1594" s="195" t="s">
        <v>366</v>
      </c>
      <c r="F1594" s="71" t="s">
        <v>508</v>
      </c>
      <c r="G1594" s="71" t="s">
        <v>2005</v>
      </c>
      <c r="H1594" s="71" t="s">
        <v>363</v>
      </c>
    </row>
    <row r="1595" spans="1:8" ht="29" x14ac:dyDescent="0.35">
      <c r="A1595" s="195">
        <v>11</v>
      </c>
      <c r="B1595" s="195">
        <v>47</v>
      </c>
      <c r="C1595" s="195" t="s">
        <v>2064</v>
      </c>
      <c r="D1595" s="64">
        <v>124440</v>
      </c>
      <c r="E1595" s="195" t="s">
        <v>373</v>
      </c>
      <c r="F1595" s="71" t="s">
        <v>508</v>
      </c>
      <c r="G1595" s="71" t="s">
        <v>2005</v>
      </c>
      <c r="H1595" s="71" t="s">
        <v>2007</v>
      </c>
    </row>
    <row r="1596" spans="1:8" ht="43.5" x14ac:dyDescent="0.35">
      <c r="A1596" s="195">
        <v>11</v>
      </c>
      <c r="B1596" s="195">
        <v>48</v>
      </c>
      <c r="C1596" s="195" t="s">
        <v>2065</v>
      </c>
      <c r="D1596" s="64">
        <v>79220</v>
      </c>
      <c r="E1596" s="195" t="s">
        <v>373</v>
      </c>
      <c r="F1596" s="71" t="s">
        <v>508</v>
      </c>
      <c r="G1596" s="71" t="s">
        <v>2005</v>
      </c>
      <c r="H1596" s="71" t="s">
        <v>2009</v>
      </c>
    </row>
    <row r="1597" spans="1:8" ht="43.5" x14ac:dyDescent="0.35">
      <c r="A1597" s="195">
        <v>11</v>
      </c>
      <c r="B1597" s="195">
        <v>49</v>
      </c>
      <c r="C1597" s="195" t="s">
        <v>2066</v>
      </c>
      <c r="D1597" s="64">
        <v>69480</v>
      </c>
      <c r="E1597" s="195" t="s">
        <v>373</v>
      </c>
      <c r="F1597" s="71" t="s">
        <v>508</v>
      </c>
      <c r="G1597" s="71" t="s">
        <v>2005</v>
      </c>
      <c r="H1597" s="71" t="s">
        <v>2011</v>
      </c>
    </row>
    <row r="1598" spans="1:8" ht="43.5" x14ac:dyDescent="0.35">
      <c r="A1598" s="195">
        <v>11</v>
      </c>
      <c r="B1598" s="195">
        <v>50</v>
      </c>
      <c r="C1598" s="195" t="s">
        <v>2067</v>
      </c>
      <c r="D1598" s="64">
        <v>49590</v>
      </c>
      <c r="E1598" s="195" t="s">
        <v>373</v>
      </c>
      <c r="F1598" s="71" t="s">
        <v>508</v>
      </c>
      <c r="G1598" s="71" t="s">
        <v>2005</v>
      </c>
      <c r="H1598" s="71" t="s">
        <v>2013</v>
      </c>
    </row>
    <row r="1599" spans="1:8" ht="43.5" x14ac:dyDescent="0.35">
      <c r="A1599" s="195">
        <v>11</v>
      </c>
      <c r="B1599" s="195">
        <v>51</v>
      </c>
      <c r="C1599" s="195" t="s">
        <v>2068</v>
      </c>
      <c r="D1599" s="64">
        <v>30890</v>
      </c>
      <c r="E1599" s="195" t="s">
        <v>373</v>
      </c>
      <c r="F1599" s="71" t="s">
        <v>508</v>
      </c>
      <c r="G1599" s="71" t="s">
        <v>2005</v>
      </c>
      <c r="H1599" s="71" t="s">
        <v>2015</v>
      </c>
    </row>
    <row r="1600" spans="1:8" ht="43.5" x14ac:dyDescent="0.35">
      <c r="A1600" s="195">
        <v>11</v>
      </c>
      <c r="B1600" s="195">
        <v>52</v>
      </c>
      <c r="C1600" s="195" t="s">
        <v>2069</v>
      </c>
      <c r="D1600" s="64">
        <v>12290</v>
      </c>
      <c r="E1600" s="195" t="s">
        <v>373</v>
      </c>
      <c r="F1600" s="71" t="s">
        <v>508</v>
      </c>
      <c r="G1600" s="71" t="s">
        <v>2005</v>
      </c>
      <c r="H1600" s="71" t="s">
        <v>2017</v>
      </c>
    </row>
    <row r="1601" spans="1:8" ht="43.5" x14ac:dyDescent="0.35">
      <c r="A1601" s="195">
        <v>11</v>
      </c>
      <c r="B1601" s="195">
        <v>53</v>
      </c>
      <c r="C1601" s="195" t="s">
        <v>2070</v>
      </c>
      <c r="D1601" s="64">
        <v>20400</v>
      </c>
      <c r="E1601" s="195" t="s">
        <v>373</v>
      </c>
      <c r="F1601" s="71" t="s">
        <v>508</v>
      </c>
      <c r="G1601" s="71" t="s">
        <v>2005</v>
      </c>
      <c r="H1601" s="71" t="s">
        <v>2019</v>
      </c>
    </row>
    <row r="1602" spans="1:8" ht="43.5" x14ac:dyDescent="0.35">
      <c r="A1602" s="195">
        <v>11</v>
      </c>
      <c r="B1602" s="195">
        <v>54</v>
      </c>
      <c r="C1602" s="195" t="s">
        <v>2071</v>
      </c>
      <c r="D1602" s="64">
        <v>13000</v>
      </c>
      <c r="E1602" s="195" t="s">
        <v>373</v>
      </c>
      <c r="F1602" s="71" t="s">
        <v>508</v>
      </c>
      <c r="G1602" s="71" t="s">
        <v>2005</v>
      </c>
      <c r="H1602" s="71" t="s">
        <v>2021</v>
      </c>
    </row>
    <row r="1603" spans="1:8" ht="43.5" x14ac:dyDescent="0.35">
      <c r="A1603" s="195">
        <v>11</v>
      </c>
      <c r="B1603" s="195">
        <v>55</v>
      </c>
      <c r="C1603" s="195" t="s">
        <v>2072</v>
      </c>
      <c r="D1603" s="64">
        <v>2850</v>
      </c>
      <c r="E1603" s="195" t="s">
        <v>373</v>
      </c>
      <c r="F1603" s="71" t="s">
        <v>508</v>
      </c>
      <c r="G1603" s="71" t="s">
        <v>2005</v>
      </c>
      <c r="H1603" s="71" t="s">
        <v>2023</v>
      </c>
    </row>
    <row r="1604" spans="1:8" ht="43.5" x14ac:dyDescent="0.35">
      <c r="A1604" s="195">
        <v>11</v>
      </c>
      <c r="B1604" s="195">
        <v>56</v>
      </c>
      <c r="C1604" s="195" t="s">
        <v>2073</v>
      </c>
      <c r="D1604" s="64">
        <v>6585</v>
      </c>
      <c r="E1604" s="195" t="s">
        <v>373</v>
      </c>
      <c r="F1604" s="71" t="s">
        <v>508</v>
      </c>
      <c r="G1604" s="71" t="s">
        <v>2005</v>
      </c>
      <c r="H1604" s="71" t="s">
        <v>2025</v>
      </c>
    </row>
    <row r="1605" spans="1:8" ht="43.5" x14ac:dyDescent="0.35">
      <c r="A1605" s="195">
        <v>11</v>
      </c>
      <c r="B1605" s="195">
        <v>57</v>
      </c>
      <c r="C1605" s="195" t="s">
        <v>2074</v>
      </c>
      <c r="D1605" s="64">
        <v>1140</v>
      </c>
      <c r="E1605" s="195" t="s">
        <v>373</v>
      </c>
      <c r="F1605" s="71" t="s">
        <v>508</v>
      </c>
      <c r="G1605" s="71" t="s">
        <v>2005</v>
      </c>
      <c r="H1605" s="71" t="s">
        <v>2027</v>
      </c>
    </row>
    <row r="1606" spans="1:8" ht="43.5" x14ac:dyDescent="0.35">
      <c r="A1606" s="195">
        <v>11</v>
      </c>
      <c r="B1606" s="195">
        <v>58</v>
      </c>
      <c r="C1606" s="195" t="s">
        <v>2075</v>
      </c>
      <c r="D1606" s="64">
        <v>3945</v>
      </c>
      <c r="E1606" s="195" t="s">
        <v>373</v>
      </c>
      <c r="F1606" s="71" t="s">
        <v>508</v>
      </c>
      <c r="G1606" s="71" t="s">
        <v>2005</v>
      </c>
      <c r="H1606" s="71" t="s">
        <v>2029</v>
      </c>
    </row>
    <row r="1607" spans="1:8" ht="29" x14ac:dyDescent="0.35">
      <c r="A1607" s="195">
        <v>11</v>
      </c>
      <c r="B1607" s="195">
        <v>59</v>
      </c>
      <c r="C1607" s="195" t="s">
        <v>2076</v>
      </c>
      <c r="D1607" s="64">
        <v>5430</v>
      </c>
      <c r="E1607" s="195" t="s">
        <v>373</v>
      </c>
      <c r="F1607" s="71" t="s">
        <v>508</v>
      </c>
      <c r="G1607" s="71" t="s">
        <v>2005</v>
      </c>
      <c r="H1607" s="71" t="s">
        <v>2031</v>
      </c>
    </row>
    <row r="1608" spans="1:8" ht="29" x14ac:dyDescent="0.35">
      <c r="A1608" s="195">
        <v>11</v>
      </c>
      <c r="B1608" s="195">
        <v>60</v>
      </c>
      <c r="C1608" s="195" t="s">
        <v>2077</v>
      </c>
      <c r="D1608" s="64">
        <v>397305</v>
      </c>
      <c r="E1608" s="195" t="s">
        <v>366</v>
      </c>
      <c r="F1608" s="71" t="s">
        <v>508</v>
      </c>
      <c r="G1608" s="71" t="s">
        <v>2033</v>
      </c>
      <c r="H1608" s="71" t="s">
        <v>363</v>
      </c>
    </row>
    <row r="1609" spans="1:8" ht="29" x14ac:dyDescent="0.35">
      <c r="A1609" s="195">
        <v>11</v>
      </c>
      <c r="B1609" s="195">
        <v>61</v>
      </c>
      <c r="C1609" s="195" t="s">
        <v>2078</v>
      </c>
      <c r="D1609" s="64">
        <v>18360</v>
      </c>
      <c r="E1609" s="195" t="s">
        <v>373</v>
      </c>
      <c r="F1609" s="71" t="s">
        <v>508</v>
      </c>
      <c r="G1609" s="71" t="s">
        <v>2033</v>
      </c>
      <c r="H1609" s="71" t="s">
        <v>2007</v>
      </c>
    </row>
    <row r="1610" spans="1:8" ht="43.5" x14ac:dyDescent="0.35">
      <c r="A1610" s="195">
        <v>11</v>
      </c>
      <c r="B1610" s="195">
        <v>62</v>
      </c>
      <c r="C1610" s="195" t="s">
        <v>2079</v>
      </c>
      <c r="D1610" s="64">
        <v>11320</v>
      </c>
      <c r="E1610" s="195" t="s">
        <v>373</v>
      </c>
      <c r="F1610" s="71" t="s">
        <v>508</v>
      </c>
      <c r="G1610" s="71" t="s">
        <v>2033</v>
      </c>
      <c r="H1610" s="71" t="s">
        <v>2009</v>
      </c>
    </row>
    <row r="1611" spans="1:8" ht="43.5" x14ac:dyDescent="0.35">
      <c r="A1611" s="195">
        <v>11</v>
      </c>
      <c r="B1611" s="195">
        <v>63</v>
      </c>
      <c r="C1611" s="195" t="s">
        <v>2080</v>
      </c>
      <c r="D1611" s="64">
        <v>11150</v>
      </c>
      <c r="E1611" s="195" t="s">
        <v>373</v>
      </c>
      <c r="F1611" s="71" t="s">
        <v>508</v>
      </c>
      <c r="G1611" s="71" t="s">
        <v>2033</v>
      </c>
      <c r="H1611" s="71" t="s">
        <v>2011</v>
      </c>
    </row>
    <row r="1612" spans="1:8" ht="43.5" x14ac:dyDescent="0.35">
      <c r="A1612" s="195">
        <v>11</v>
      </c>
      <c r="B1612" s="195">
        <v>64</v>
      </c>
      <c r="C1612" s="195" t="s">
        <v>2081</v>
      </c>
      <c r="D1612" s="64">
        <v>17655</v>
      </c>
      <c r="E1612" s="195" t="s">
        <v>373</v>
      </c>
      <c r="F1612" s="71" t="s">
        <v>508</v>
      </c>
      <c r="G1612" s="71" t="s">
        <v>2033</v>
      </c>
      <c r="H1612" s="71" t="s">
        <v>2013</v>
      </c>
    </row>
    <row r="1613" spans="1:8" ht="43.5" x14ac:dyDescent="0.35">
      <c r="A1613" s="195">
        <v>11</v>
      </c>
      <c r="B1613" s="195">
        <v>65</v>
      </c>
      <c r="C1613" s="195" t="s">
        <v>2082</v>
      </c>
      <c r="D1613" s="64">
        <v>24285</v>
      </c>
      <c r="E1613" s="195" t="s">
        <v>373</v>
      </c>
      <c r="F1613" s="71" t="s">
        <v>508</v>
      </c>
      <c r="G1613" s="71" t="s">
        <v>2033</v>
      </c>
      <c r="H1613" s="71" t="s">
        <v>2015</v>
      </c>
    </row>
    <row r="1614" spans="1:8" ht="43.5" x14ac:dyDescent="0.35">
      <c r="A1614" s="195">
        <v>11</v>
      </c>
      <c r="B1614" s="195">
        <v>66</v>
      </c>
      <c r="C1614" s="195" t="s">
        <v>2083</v>
      </c>
      <c r="D1614" s="64">
        <v>16575</v>
      </c>
      <c r="E1614" s="195" t="s">
        <v>373</v>
      </c>
      <c r="F1614" s="71" t="s">
        <v>508</v>
      </c>
      <c r="G1614" s="71" t="s">
        <v>2033</v>
      </c>
      <c r="H1614" s="71" t="s">
        <v>2017</v>
      </c>
    </row>
    <row r="1615" spans="1:8" ht="43.5" x14ac:dyDescent="0.35">
      <c r="A1615" s="195">
        <v>11</v>
      </c>
      <c r="B1615" s="195">
        <v>67</v>
      </c>
      <c r="C1615" s="195" t="s">
        <v>2084</v>
      </c>
      <c r="D1615" s="64">
        <v>48980</v>
      </c>
      <c r="E1615" s="195" t="s">
        <v>373</v>
      </c>
      <c r="F1615" s="71" t="s">
        <v>508</v>
      </c>
      <c r="G1615" s="71" t="s">
        <v>2033</v>
      </c>
      <c r="H1615" s="71" t="s">
        <v>2019</v>
      </c>
    </row>
    <row r="1616" spans="1:8" ht="43.5" x14ac:dyDescent="0.35">
      <c r="A1616" s="195">
        <v>11</v>
      </c>
      <c r="B1616" s="195">
        <v>68</v>
      </c>
      <c r="C1616" s="195" t="s">
        <v>2085</v>
      </c>
      <c r="D1616" s="64">
        <v>45600</v>
      </c>
      <c r="E1616" s="195" t="s">
        <v>373</v>
      </c>
      <c r="F1616" s="71" t="s">
        <v>508</v>
      </c>
      <c r="G1616" s="71" t="s">
        <v>2033</v>
      </c>
      <c r="H1616" s="71" t="s">
        <v>2021</v>
      </c>
    </row>
    <row r="1617" spans="1:8" ht="43.5" x14ac:dyDescent="0.35">
      <c r="A1617" s="195">
        <v>11</v>
      </c>
      <c r="B1617" s="195">
        <v>69</v>
      </c>
      <c r="C1617" s="195" t="s">
        <v>2086</v>
      </c>
      <c r="D1617" s="64">
        <v>11555</v>
      </c>
      <c r="E1617" s="195" t="s">
        <v>373</v>
      </c>
      <c r="F1617" s="71" t="s">
        <v>508</v>
      </c>
      <c r="G1617" s="71" t="s">
        <v>2033</v>
      </c>
      <c r="H1617" s="71" t="s">
        <v>2023</v>
      </c>
    </row>
    <row r="1618" spans="1:8" ht="43.5" x14ac:dyDescent="0.35">
      <c r="A1618" s="195">
        <v>11</v>
      </c>
      <c r="B1618" s="195">
        <v>70</v>
      </c>
      <c r="C1618" s="195" t="s">
        <v>2087</v>
      </c>
      <c r="D1618" s="64">
        <v>36870</v>
      </c>
      <c r="E1618" s="195" t="s">
        <v>373</v>
      </c>
      <c r="F1618" s="71" t="s">
        <v>508</v>
      </c>
      <c r="G1618" s="71" t="s">
        <v>2033</v>
      </c>
      <c r="H1618" s="71" t="s">
        <v>2025</v>
      </c>
    </row>
    <row r="1619" spans="1:8" ht="43.5" x14ac:dyDescent="0.35">
      <c r="A1619" s="195">
        <v>11</v>
      </c>
      <c r="B1619" s="195">
        <v>71</v>
      </c>
      <c r="C1619" s="195" t="s">
        <v>2088</v>
      </c>
      <c r="D1619" s="64">
        <v>9120</v>
      </c>
      <c r="E1619" s="195" t="s">
        <v>373</v>
      </c>
      <c r="F1619" s="71" t="s">
        <v>508</v>
      </c>
      <c r="G1619" s="71" t="s">
        <v>2033</v>
      </c>
      <c r="H1619" s="71" t="s">
        <v>2027</v>
      </c>
    </row>
    <row r="1620" spans="1:8" ht="43.5" x14ac:dyDescent="0.35">
      <c r="A1620" s="195">
        <v>11</v>
      </c>
      <c r="B1620" s="195">
        <v>72</v>
      </c>
      <c r="C1620" s="195" t="s">
        <v>2089</v>
      </c>
      <c r="D1620" s="64">
        <v>38525</v>
      </c>
      <c r="E1620" s="195" t="s">
        <v>373</v>
      </c>
      <c r="F1620" s="71" t="s">
        <v>508</v>
      </c>
      <c r="G1620" s="71" t="s">
        <v>2033</v>
      </c>
      <c r="H1620" s="71" t="s">
        <v>2029</v>
      </c>
    </row>
    <row r="1621" spans="1:8" ht="29" x14ac:dyDescent="0.35">
      <c r="A1621" s="195">
        <v>11</v>
      </c>
      <c r="B1621" s="195">
        <v>73</v>
      </c>
      <c r="C1621" s="195" t="s">
        <v>2090</v>
      </c>
      <c r="D1621" s="64">
        <v>107305</v>
      </c>
      <c r="E1621" s="195" t="s">
        <v>373</v>
      </c>
      <c r="F1621" s="71" t="s">
        <v>508</v>
      </c>
      <c r="G1621" s="71" t="s">
        <v>2033</v>
      </c>
      <c r="H1621" s="71" t="s">
        <v>2031</v>
      </c>
    </row>
    <row r="1622" spans="1:8" ht="43.5" x14ac:dyDescent="0.35">
      <c r="A1622" s="195">
        <v>11</v>
      </c>
      <c r="B1622" s="195">
        <v>74</v>
      </c>
      <c r="C1622" s="195" t="s">
        <v>2091</v>
      </c>
      <c r="D1622" s="64">
        <v>29870</v>
      </c>
      <c r="E1622" s="195" t="s">
        <v>366</v>
      </c>
      <c r="F1622" s="71" t="s">
        <v>508</v>
      </c>
      <c r="G1622" s="71" t="s">
        <v>2048</v>
      </c>
      <c r="H1622" s="71" t="s">
        <v>363</v>
      </c>
    </row>
    <row r="1623" spans="1:8" ht="43.5" x14ac:dyDescent="0.35">
      <c r="A1623" s="195">
        <v>11</v>
      </c>
      <c r="B1623" s="195">
        <v>75</v>
      </c>
      <c r="C1623" s="195" t="s">
        <v>2092</v>
      </c>
      <c r="D1623" s="64">
        <v>29870</v>
      </c>
      <c r="E1623" s="195" t="s">
        <v>373</v>
      </c>
      <c r="F1623" s="71" t="s">
        <v>508</v>
      </c>
      <c r="G1623" s="71" t="s">
        <v>2048</v>
      </c>
      <c r="H1623" s="71" t="s">
        <v>2007</v>
      </c>
    </row>
    <row r="1624" spans="1:8" ht="43.5" x14ac:dyDescent="0.35">
      <c r="A1624" s="195">
        <v>11</v>
      </c>
      <c r="B1624" s="195">
        <v>76</v>
      </c>
      <c r="C1624" s="195" t="s">
        <v>2093</v>
      </c>
      <c r="D1624" s="195">
        <v>0</v>
      </c>
      <c r="E1624" s="195" t="s">
        <v>373</v>
      </c>
      <c r="F1624" s="71" t="s">
        <v>508</v>
      </c>
      <c r="G1624" s="71" t="s">
        <v>2048</v>
      </c>
      <c r="H1624" s="71" t="s">
        <v>2009</v>
      </c>
    </row>
    <row r="1625" spans="1:8" ht="43.5" x14ac:dyDescent="0.35">
      <c r="A1625" s="195">
        <v>11</v>
      </c>
      <c r="B1625" s="195">
        <v>77</v>
      </c>
      <c r="C1625" s="195" t="s">
        <v>2094</v>
      </c>
      <c r="D1625" s="195">
        <v>0</v>
      </c>
      <c r="E1625" s="195" t="s">
        <v>373</v>
      </c>
      <c r="F1625" s="71" t="s">
        <v>508</v>
      </c>
      <c r="G1625" s="71" t="s">
        <v>2048</v>
      </c>
      <c r="H1625" s="71" t="s">
        <v>2011</v>
      </c>
    </row>
    <row r="1626" spans="1:8" ht="43.5" x14ac:dyDescent="0.35">
      <c r="A1626" s="195">
        <v>11</v>
      </c>
      <c r="B1626" s="195">
        <v>78</v>
      </c>
      <c r="C1626" s="195" t="s">
        <v>2095</v>
      </c>
      <c r="D1626" s="195">
        <v>0</v>
      </c>
      <c r="E1626" s="195" t="s">
        <v>373</v>
      </c>
      <c r="F1626" s="71" t="s">
        <v>508</v>
      </c>
      <c r="G1626" s="71" t="s">
        <v>2048</v>
      </c>
      <c r="H1626" s="71" t="s">
        <v>2013</v>
      </c>
    </row>
    <row r="1627" spans="1:8" ht="43.5" x14ac:dyDescent="0.35">
      <c r="A1627" s="195">
        <v>11</v>
      </c>
      <c r="B1627" s="195">
        <v>79</v>
      </c>
      <c r="C1627" s="195" t="s">
        <v>2096</v>
      </c>
      <c r="D1627" s="195">
        <v>0</v>
      </c>
      <c r="E1627" s="195" t="s">
        <v>373</v>
      </c>
      <c r="F1627" s="71" t="s">
        <v>508</v>
      </c>
      <c r="G1627" s="71" t="s">
        <v>2048</v>
      </c>
      <c r="H1627" s="71" t="s">
        <v>2015</v>
      </c>
    </row>
    <row r="1628" spans="1:8" ht="43.5" x14ac:dyDescent="0.35">
      <c r="A1628" s="195">
        <v>11</v>
      </c>
      <c r="B1628" s="195">
        <v>80</v>
      </c>
      <c r="C1628" s="195" t="s">
        <v>2097</v>
      </c>
      <c r="D1628" s="195">
        <v>0</v>
      </c>
      <c r="E1628" s="195" t="s">
        <v>373</v>
      </c>
      <c r="F1628" s="71" t="s">
        <v>508</v>
      </c>
      <c r="G1628" s="71" t="s">
        <v>2048</v>
      </c>
      <c r="H1628" s="71" t="s">
        <v>2017</v>
      </c>
    </row>
    <row r="1629" spans="1:8" ht="43.5" x14ac:dyDescent="0.35">
      <c r="A1629" s="195">
        <v>11</v>
      </c>
      <c r="B1629" s="195">
        <v>81</v>
      </c>
      <c r="C1629" s="195" t="s">
        <v>2098</v>
      </c>
      <c r="D1629" s="195">
        <v>0</v>
      </c>
      <c r="E1629" s="195" t="s">
        <v>373</v>
      </c>
      <c r="F1629" s="71" t="s">
        <v>508</v>
      </c>
      <c r="G1629" s="71" t="s">
        <v>2048</v>
      </c>
      <c r="H1629" s="71" t="s">
        <v>2019</v>
      </c>
    </row>
    <row r="1630" spans="1:8" ht="43.5" x14ac:dyDescent="0.35">
      <c r="A1630" s="195">
        <v>11</v>
      </c>
      <c r="B1630" s="195">
        <v>82</v>
      </c>
      <c r="C1630" s="195" t="s">
        <v>2099</v>
      </c>
      <c r="D1630" s="195">
        <v>0</v>
      </c>
      <c r="E1630" s="195" t="s">
        <v>373</v>
      </c>
      <c r="F1630" s="71" t="s">
        <v>508</v>
      </c>
      <c r="G1630" s="71" t="s">
        <v>2048</v>
      </c>
      <c r="H1630" s="71" t="s">
        <v>2021</v>
      </c>
    </row>
    <row r="1631" spans="1:8" ht="43.5" x14ac:dyDescent="0.35">
      <c r="A1631" s="195">
        <v>11</v>
      </c>
      <c r="B1631" s="195">
        <v>83</v>
      </c>
      <c r="C1631" s="195" t="s">
        <v>2100</v>
      </c>
      <c r="D1631" s="195">
        <v>0</v>
      </c>
      <c r="E1631" s="195" t="s">
        <v>373</v>
      </c>
      <c r="F1631" s="71" t="s">
        <v>508</v>
      </c>
      <c r="G1631" s="71" t="s">
        <v>2048</v>
      </c>
      <c r="H1631" s="71" t="s">
        <v>2023</v>
      </c>
    </row>
    <row r="1632" spans="1:8" ht="43.5" x14ac:dyDescent="0.35">
      <c r="A1632" s="195">
        <v>11</v>
      </c>
      <c r="B1632" s="195">
        <v>84</v>
      </c>
      <c r="C1632" s="195" t="s">
        <v>2101</v>
      </c>
      <c r="D1632" s="195">
        <v>0</v>
      </c>
      <c r="E1632" s="195" t="s">
        <v>373</v>
      </c>
      <c r="F1632" s="71" t="s">
        <v>508</v>
      </c>
      <c r="G1632" s="71" t="s">
        <v>2048</v>
      </c>
      <c r="H1632" s="71" t="s">
        <v>2025</v>
      </c>
    </row>
    <row r="1633" spans="1:9" ht="43.5" x14ac:dyDescent="0.35">
      <c r="A1633" s="195">
        <v>11</v>
      </c>
      <c r="B1633" s="195">
        <v>85</v>
      </c>
      <c r="C1633" s="195" t="s">
        <v>2102</v>
      </c>
      <c r="D1633" s="195">
        <v>0</v>
      </c>
      <c r="E1633" s="195" t="s">
        <v>373</v>
      </c>
      <c r="F1633" s="71" t="s">
        <v>508</v>
      </c>
      <c r="G1633" s="71" t="s">
        <v>2048</v>
      </c>
      <c r="H1633" s="71" t="s">
        <v>2027</v>
      </c>
    </row>
    <row r="1634" spans="1:9" ht="43.5" x14ac:dyDescent="0.35">
      <c r="A1634" s="195">
        <v>11</v>
      </c>
      <c r="B1634" s="195">
        <v>86</v>
      </c>
      <c r="C1634" s="195" t="s">
        <v>2103</v>
      </c>
      <c r="D1634" s="195">
        <v>0</v>
      </c>
      <c r="E1634" s="195" t="s">
        <v>373</v>
      </c>
      <c r="F1634" s="71" t="s">
        <v>508</v>
      </c>
      <c r="G1634" s="71" t="s">
        <v>2048</v>
      </c>
      <c r="H1634" s="71" t="s">
        <v>2029</v>
      </c>
    </row>
    <row r="1635" spans="1:9" ht="43.5" x14ac:dyDescent="0.35">
      <c r="A1635" s="195">
        <v>11</v>
      </c>
      <c r="B1635" s="195">
        <v>87</v>
      </c>
      <c r="C1635" s="195" t="s">
        <v>2104</v>
      </c>
      <c r="D1635" s="195">
        <v>0</v>
      </c>
      <c r="E1635" s="195" t="s">
        <v>373</v>
      </c>
      <c r="F1635" s="71" t="s">
        <v>508</v>
      </c>
      <c r="G1635" s="71" t="s">
        <v>2048</v>
      </c>
      <c r="H1635" s="71" t="s">
        <v>2031</v>
      </c>
    </row>
    <row r="1636" spans="1:9" ht="29" x14ac:dyDescent="0.35">
      <c r="A1636" s="195">
        <v>12</v>
      </c>
      <c r="B1636" s="195">
        <v>1</v>
      </c>
      <c r="C1636" s="195" t="s">
        <v>2105</v>
      </c>
      <c r="D1636" s="64">
        <v>1951605</v>
      </c>
      <c r="E1636" s="195" t="s">
        <v>26</v>
      </c>
      <c r="F1636" s="71" t="s">
        <v>361</v>
      </c>
      <c r="G1636" s="71" t="s">
        <v>2106</v>
      </c>
      <c r="H1636" s="71" t="s">
        <v>363</v>
      </c>
      <c r="I1636" s="71" t="s">
        <v>1374</v>
      </c>
    </row>
    <row r="1637" spans="1:9" x14ac:dyDescent="0.35">
      <c r="A1637" s="195">
        <v>12</v>
      </c>
      <c r="B1637" s="195">
        <v>2</v>
      </c>
      <c r="C1637" s="195" t="s">
        <v>2107</v>
      </c>
      <c r="D1637" s="64">
        <v>1105170</v>
      </c>
      <c r="E1637" s="195" t="s">
        <v>366</v>
      </c>
      <c r="F1637" s="71" t="s">
        <v>367</v>
      </c>
      <c r="G1637" s="71" t="s">
        <v>2106</v>
      </c>
      <c r="H1637" s="71" t="s">
        <v>363</v>
      </c>
      <c r="I1637" s="71" t="s">
        <v>1374</v>
      </c>
    </row>
    <row r="1638" spans="1:9" ht="29" x14ac:dyDescent="0.35">
      <c r="A1638" s="195">
        <v>12</v>
      </c>
      <c r="B1638" s="195">
        <v>3</v>
      </c>
      <c r="C1638" s="195" t="s">
        <v>2108</v>
      </c>
      <c r="D1638" s="64">
        <v>98510</v>
      </c>
      <c r="E1638" s="195" t="s">
        <v>366</v>
      </c>
      <c r="F1638" s="71" t="s">
        <v>367</v>
      </c>
      <c r="G1638" s="71" t="s">
        <v>2109</v>
      </c>
      <c r="H1638" s="71" t="s">
        <v>363</v>
      </c>
      <c r="I1638" s="71" t="s">
        <v>1374</v>
      </c>
    </row>
    <row r="1639" spans="1:9" ht="29" x14ac:dyDescent="0.35">
      <c r="A1639" s="195">
        <v>12</v>
      </c>
      <c r="B1639" s="195">
        <v>4</v>
      </c>
      <c r="C1639" s="195" t="s">
        <v>2110</v>
      </c>
      <c r="D1639" s="64">
        <v>10375</v>
      </c>
      <c r="E1639" s="195" t="s">
        <v>366</v>
      </c>
      <c r="F1639" s="71" t="s">
        <v>367</v>
      </c>
      <c r="G1639" s="71" t="s">
        <v>2109</v>
      </c>
      <c r="H1639" s="71" t="s">
        <v>2111</v>
      </c>
      <c r="I1639" s="71" t="s">
        <v>1374</v>
      </c>
    </row>
    <row r="1640" spans="1:9" ht="29" x14ac:dyDescent="0.35">
      <c r="A1640" s="195">
        <v>12</v>
      </c>
      <c r="B1640" s="195">
        <v>5</v>
      </c>
      <c r="C1640" s="195" t="s">
        <v>2112</v>
      </c>
      <c r="D1640" s="64">
        <v>1445</v>
      </c>
      <c r="E1640" s="195" t="s">
        <v>373</v>
      </c>
      <c r="F1640" s="71" t="s">
        <v>367</v>
      </c>
      <c r="G1640" s="71" t="s">
        <v>2109</v>
      </c>
      <c r="H1640" s="71" t="s">
        <v>2111</v>
      </c>
      <c r="I1640" s="71" t="s">
        <v>1657</v>
      </c>
    </row>
    <row r="1641" spans="1:9" ht="29" x14ac:dyDescent="0.35">
      <c r="A1641" s="195">
        <v>12</v>
      </c>
      <c r="B1641" s="195">
        <v>6</v>
      </c>
      <c r="C1641" s="195" t="s">
        <v>2113</v>
      </c>
      <c r="D1641" s="64">
        <v>1775</v>
      </c>
      <c r="E1641" s="195" t="s">
        <v>373</v>
      </c>
      <c r="F1641" s="71" t="s">
        <v>367</v>
      </c>
      <c r="G1641" s="71" t="s">
        <v>2109</v>
      </c>
      <c r="H1641" s="71" t="s">
        <v>2111</v>
      </c>
      <c r="I1641" s="71" t="s">
        <v>1663</v>
      </c>
    </row>
    <row r="1642" spans="1:9" ht="29" x14ac:dyDescent="0.35">
      <c r="A1642" s="195">
        <v>12</v>
      </c>
      <c r="B1642" s="195">
        <v>7</v>
      </c>
      <c r="C1642" s="195" t="s">
        <v>2114</v>
      </c>
      <c r="D1642" s="64">
        <v>6415</v>
      </c>
      <c r="E1642" s="195" t="s">
        <v>373</v>
      </c>
      <c r="F1642" s="71" t="s">
        <v>367</v>
      </c>
      <c r="G1642" s="71" t="s">
        <v>2109</v>
      </c>
      <c r="H1642" s="71" t="s">
        <v>2111</v>
      </c>
      <c r="I1642" s="71" t="s">
        <v>1667</v>
      </c>
    </row>
    <row r="1643" spans="1:9" ht="29" x14ac:dyDescent="0.35">
      <c r="A1643" s="195">
        <v>12</v>
      </c>
      <c r="B1643" s="195">
        <v>8</v>
      </c>
      <c r="C1643" s="195" t="s">
        <v>2115</v>
      </c>
      <c r="D1643" s="195">
        <v>735</v>
      </c>
      <c r="E1643" s="195" t="s">
        <v>373</v>
      </c>
      <c r="F1643" s="71" t="s">
        <v>367</v>
      </c>
      <c r="G1643" s="71" t="s">
        <v>2109</v>
      </c>
      <c r="H1643" s="71" t="s">
        <v>2111</v>
      </c>
      <c r="I1643" s="71" t="s">
        <v>1671</v>
      </c>
    </row>
    <row r="1644" spans="1:9" ht="29" x14ac:dyDescent="0.35">
      <c r="A1644" s="195">
        <v>12</v>
      </c>
      <c r="B1644" s="195">
        <v>9</v>
      </c>
      <c r="C1644" s="195" t="s">
        <v>2116</v>
      </c>
      <c r="D1644" s="64">
        <v>8300</v>
      </c>
      <c r="E1644" s="195" t="s">
        <v>366</v>
      </c>
      <c r="F1644" s="71" t="s">
        <v>367</v>
      </c>
      <c r="G1644" s="71" t="s">
        <v>2109</v>
      </c>
      <c r="H1644" s="71" t="s">
        <v>2117</v>
      </c>
      <c r="I1644" s="71" t="s">
        <v>1374</v>
      </c>
    </row>
    <row r="1645" spans="1:9" ht="29" x14ac:dyDescent="0.35">
      <c r="A1645" s="195">
        <v>12</v>
      </c>
      <c r="B1645" s="195">
        <v>10</v>
      </c>
      <c r="C1645" s="195" t="s">
        <v>2118</v>
      </c>
      <c r="D1645" s="64">
        <v>2630</v>
      </c>
      <c r="E1645" s="195" t="s">
        <v>373</v>
      </c>
      <c r="F1645" s="71" t="s">
        <v>367</v>
      </c>
      <c r="G1645" s="71" t="s">
        <v>2109</v>
      </c>
      <c r="H1645" s="71" t="s">
        <v>2117</v>
      </c>
      <c r="I1645" s="71" t="s">
        <v>1657</v>
      </c>
    </row>
    <row r="1646" spans="1:9" ht="29" x14ac:dyDescent="0.35">
      <c r="A1646" s="195">
        <v>12</v>
      </c>
      <c r="B1646" s="195">
        <v>11</v>
      </c>
      <c r="C1646" s="195" t="s">
        <v>2119</v>
      </c>
      <c r="D1646" s="64">
        <v>2700</v>
      </c>
      <c r="E1646" s="195" t="s">
        <v>373</v>
      </c>
      <c r="F1646" s="71" t="s">
        <v>367</v>
      </c>
      <c r="G1646" s="71" t="s">
        <v>2109</v>
      </c>
      <c r="H1646" s="71" t="s">
        <v>2117</v>
      </c>
      <c r="I1646" s="71" t="s">
        <v>1663</v>
      </c>
    </row>
    <row r="1647" spans="1:9" ht="29" x14ac:dyDescent="0.35">
      <c r="A1647" s="195">
        <v>12</v>
      </c>
      <c r="B1647" s="195">
        <v>12</v>
      </c>
      <c r="C1647" s="195" t="s">
        <v>2120</v>
      </c>
      <c r="D1647" s="64">
        <v>2970</v>
      </c>
      <c r="E1647" s="195" t="s">
        <v>373</v>
      </c>
      <c r="F1647" s="71" t="s">
        <v>367</v>
      </c>
      <c r="G1647" s="71" t="s">
        <v>2109</v>
      </c>
      <c r="H1647" s="71" t="s">
        <v>2117</v>
      </c>
      <c r="I1647" s="71" t="s">
        <v>1667</v>
      </c>
    </row>
    <row r="1648" spans="1:9" ht="29" x14ac:dyDescent="0.35">
      <c r="A1648" s="195">
        <v>12</v>
      </c>
      <c r="B1648" s="195">
        <v>13</v>
      </c>
      <c r="C1648" s="195" t="s">
        <v>2121</v>
      </c>
      <c r="D1648" s="195">
        <v>0</v>
      </c>
      <c r="E1648" s="195" t="s">
        <v>373</v>
      </c>
      <c r="F1648" s="71" t="s">
        <v>367</v>
      </c>
      <c r="G1648" s="71" t="s">
        <v>2109</v>
      </c>
      <c r="H1648" s="71" t="s">
        <v>2117</v>
      </c>
      <c r="I1648" s="71" t="s">
        <v>1671</v>
      </c>
    </row>
    <row r="1649" spans="1:9" ht="29" x14ac:dyDescent="0.35">
      <c r="A1649" s="195">
        <v>12</v>
      </c>
      <c r="B1649" s="195">
        <v>14</v>
      </c>
      <c r="C1649" s="195" t="s">
        <v>2122</v>
      </c>
      <c r="D1649" s="64">
        <v>13800</v>
      </c>
      <c r="E1649" s="195" t="s">
        <v>366</v>
      </c>
      <c r="F1649" s="71" t="s">
        <v>367</v>
      </c>
      <c r="G1649" s="71" t="s">
        <v>2109</v>
      </c>
      <c r="H1649" s="71" t="s">
        <v>2123</v>
      </c>
      <c r="I1649" s="71" t="s">
        <v>1374</v>
      </c>
    </row>
    <row r="1650" spans="1:9" ht="29" x14ac:dyDescent="0.35">
      <c r="A1650" s="195">
        <v>12</v>
      </c>
      <c r="B1650" s="195">
        <v>15</v>
      </c>
      <c r="C1650" s="195" t="s">
        <v>2124</v>
      </c>
      <c r="D1650" s="64">
        <v>7250</v>
      </c>
      <c r="E1650" s="195" t="s">
        <v>373</v>
      </c>
      <c r="F1650" s="71" t="s">
        <v>367</v>
      </c>
      <c r="G1650" s="71" t="s">
        <v>2109</v>
      </c>
      <c r="H1650" s="71" t="s">
        <v>2123</v>
      </c>
      <c r="I1650" s="71" t="s">
        <v>1657</v>
      </c>
    </row>
    <row r="1651" spans="1:9" ht="29" x14ac:dyDescent="0.35">
      <c r="A1651" s="195">
        <v>12</v>
      </c>
      <c r="B1651" s="195">
        <v>16</v>
      </c>
      <c r="C1651" s="195" t="s">
        <v>2125</v>
      </c>
      <c r="D1651" s="64">
        <v>4670</v>
      </c>
      <c r="E1651" s="195" t="s">
        <v>373</v>
      </c>
      <c r="F1651" s="71" t="s">
        <v>367</v>
      </c>
      <c r="G1651" s="71" t="s">
        <v>2109</v>
      </c>
      <c r="H1651" s="71" t="s">
        <v>2123</v>
      </c>
      <c r="I1651" s="71" t="s">
        <v>1663</v>
      </c>
    </row>
    <row r="1652" spans="1:9" ht="29" x14ac:dyDescent="0.35">
      <c r="A1652" s="195">
        <v>12</v>
      </c>
      <c r="B1652" s="195">
        <v>17</v>
      </c>
      <c r="C1652" s="195" t="s">
        <v>2126</v>
      </c>
      <c r="D1652" s="64">
        <v>1875</v>
      </c>
      <c r="E1652" s="195" t="s">
        <v>373</v>
      </c>
      <c r="F1652" s="71" t="s">
        <v>367</v>
      </c>
      <c r="G1652" s="71" t="s">
        <v>2109</v>
      </c>
      <c r="H1652" s="71" t="s">
        <v>2123</v>
      </c>
      <c r="I1652" s="71" t="s">
        <v>1667</v>
      </c>
    </row>
    <row r="1653" spans="1:9" ht="29" x14ac:dyDescent="0.35">
      <c r="A1653" s="195">
        <v>12</v>
      </c>
      <c r="B1653" s="195">
        <v>18</v>
      </c>
      <c r="C1653" s="195" t="s">
        <v>2127</v>
      </c>
      <c r="D1653" s="195">
        <v>0</v>
      </c>
      <c r="E1653" s="195" t="s">
        <v>373</v>
      </c>
      <c r="F1653" s="71" t="s">
        <v>367</v>
      </c>
      <c r="G1653" s="71" t="s">
        <v>2109</v>
      </c>
      <c r="H1653" s="71" t="s">
        <v>2123</v>
      </c>
      <c r="I1653" s="71" t="s">
        <v>1671</v>
      </c>
    </row>
    <row r="1654" spans="1:9" ht="29" x14ac:dyDescent="0.35">
      <c r="A1654" s="195">
        <v>12</v>
      </c>
      <c r="B1654" s="195">
        <v>19</v>
      </c>
      <c r="C1654" s="195" t="s">
        <v>2128</v>
      </c>
      <c r="D1654" s="64">
        <v>66035</v>
      </c>
      <c r="E1654" s="195" t="s">
        <v>366</v>
      </c>
      <c r="F1654" s="71" t="s">
        <v>367</v>
      </c>
      <c r="G1654" s="71" t="s">
        <v>2109</v>
      </c>
      <c r="H1654" s="71" t="s">
        <v>2129</v>
      </c>
      <c r="I1654" s="71" t="s">
        <v>1374</v>
      </c>
    </row>
    <row r="1655" spans="1:9" ht="29" x14ac:dyDescent="0.35">
      <c r="A1655" s="195">
        <v>12</v>
      </c>
      <c r="B1655" s="195">
        <v>20</v>
      </c>
      <c r="C1655" s="195" t="s">
        <v>2130</v>
      </c>
      <c r="D1655" s="64">
        <v>58450</v>
      </c>
      <c r="E1655" s="195" t="s">
        <v>373</v>
      </c>
      <c r="F1655" s="71" t="s">
        <v>367</v>
      </c>
      <c r="G1655" s="71" t="s">
        <v>2109</v>
      </c>
      <c r="H1655" s="71" t="s">
        <v>2129</v>
      </c>
      <c r="I1655" s="71" t="s">
        <v>1657</v>
      </c>
    </row>
    <row r="1656" spans="1:9" ht="29" x14ac:dyDescent="0.35">
      <c r="A1656" s="195">
        <v>12</v>
      </c>
      <c r="B1656" s="195">
        <v>21</v>
      </c>
      <c r="C1656" s="195" t="s">
        <v>2131</v>
      </c>
      <c r="D1656" s="64">
        <v>6450</v>
      </c>
      <c r="E1656" s="195" t="s">
        <v>373</v>
      </c>
      <c r="F1656" s="71" t="s">
        <v>367</v>
      </c>
      <c r="G1656" s="71" t="s">
        <v>2109</v>
      </c>
      <c r="H1656" s="71" t="s">
        <v>2129</v>
      </c>
      <c r="I1656" s="71" t="s">
        <v>1663</v>
      </c>
    </row>
    <row r="1657" spans="1:9" ht="29" x14ac:dyDescent="0.35">
      <c r="A1657" s="195">
        <v>12</v>
      </c>
      <c r="B1657" s="195">
        <v>22</v>
      </c>
      <c r="C1657" s="195" t="s">
        <v>2132</v>
      </c>
      <c r="D1657" s="64">
        <v>1135</v>
      </c>
      <c r="E1657" s="195" t="s">
        <v>373</v>
      </c>
      <c r="F1657" s="71" t="s">
        <v>367</v>
      </c>
      <c r="G1657" s="71" t="s">
        <v>2109</v>
      </c>
      <c r="H1657" s="71" t="s">
        <v>2129</v>
      </c>
      <c r="I1657" s="71" t="s">
        <v>1667</v>
      </c>
    </row>
    <row r="1658" spans="1:9" ht="29" x14ac:dyDescent="0.35">
      <c r="A1658" s="195">
        <v>12</v>
      </c>
      <c r="B1658" s="195">
        <v>23</v>
      </c>
      <c r="C1658" s="195" t="s">
        <v>2133</v>
      </c>
      <c r="D1658" s="195">
        <v>0</v>
      </c>
      <c r="E1658" s="195" t="s">
        <v>373</v>
      </c>
      <c r="F1658" s="71" t="s">
        <v>367</v>
      </c>
      <c r="G1658" s="71" t="s">
        <v>2109</v>
      </c>
      <c r="H1658" s="71" t="s">
        <v>2129</v>
      </c>
      <c r="I1658" s="71" t="s">
        <v>1671</v>
      </c>
    </row>
    <row r="1659" spans="1:9" ht="29" x14ac:dyDescent="0.35">
      <c r="A1659" s="195">
        <v>12</v>
      </c>
      <c r="B1659" s="195">
        <v>24</v>
      </c>
      <c r="C1659" s="195" t="s">
        <v>2134</v>
      </c>
      <c r="D1659" s="64">
        <v>153745</v>
      </c>
      <c r="E1659" s="195" t="s">
        <v>366</v>
      </c>
      <c r="F1659" s="71" t="s">
        <v>367</v>
      </c>
      <c r="G1659" s="71" t="s">
        <v>2135</v>
      </c>
      <c r="H1659" s="71" t="s">
        <v>363</v>
      </c>
      <c r="I1659" s="71" t="s">
        <v>1374</v>
      </c>
    </row>
    <row r="1660" spans="1:9" ht="29" x14ac:dyDescent="0.35">
      <c r="A1660" s="195">
        <v>12</v>
      </c>
      <c r="B1660" s="195">
        <v>25</v>
      </c>
      <c r="C1660" s="195" t="s">
        <v>2136</v>
      </c>
      <c r="D1660" s="64">
        <v>25835</v>
      </c>
      <c r="E1660" s="195" t="s">
        <v>366</v>
      </c>
      <c r="F1660" s="71" t="s">
        <v>367</v>
      </c>
      <c r="G1660" s="71" t="s">
        <v>2135</v>
      </c>
      <c r="H1660" s="71" t="s">
        <v>2111</v>
      </c>
      <c r="I1660" s="71" t="s">
        <v>1374</v>
      </c>
    </row>
    <row r="1661" spans="1:9" ht="29" x14ac:dyDescent="0.35">
      <c r="A1661" s="195">
        <v>12</v>
      </c>
      <c r="B1661" s="195">
        <v>26</v>
      </c>
      <c r="C1661" s="195" t="s">
        <v>2137</v>
      </c>
      <c r="D1661" s="64">
        <v>4655</v>
      </c>
      <c r="E1661" s="195" t="s">
        <v>373</v>
      </c>
      <c r="F1661" s="71" t="s">
        <v>367</v>
      </c>
      <c r="G1661" s="71" t="s">
        <v>2135</v>
      </c>
      <c r="H1661" s="71" t="s">
        <v>2111</v>
      </c>
      <c r="I1661" s="71" t="s">
        <v>1657</v>
      </c>
    </row>
    <row r="1662" spans="1:9" ht="29" x14ac:dyDescent="0.35">
      <c r="A1662" s="195">
        <v>12</v>
      </c>
      <c r="B1662" s="195">
        <v>27</v>
      </c>
      <c r="C1662" s="195" t="s">
        <v>2138</v>
      </c>
      <c r="D1662" s="64">
        <v>6285</v>
      </c>
      <c r="E1662" s="195" t="s">
        <v>373</v>
      </c>
      <c r="F1662" s="71" t="s">
        <v>367</v>
      </c>
      <c r="G1662" s="71" t="s">
        <v>2135</v>
      </c>
      <c r="H1662" s="71" t="s">
        <v>2111</v>
      </c>
      <c r="I1662" s="71" t="s">
        <v>1663</v>
      </c>
    </row>
    <row r="1663" spans="1:9" ht="29" x14ac:dyDescent="0.35">
      <c r="A1663" s="195">
        <v>12</v>
      </c>
      <c r="B1663" s="195">
        <v>28</v>
      </c>
      <c r="C1663" s="195" t="s">
        <v>2139</v>
      </c>
      <c r="D1663" s="64">
        <v>13630</v>
      </c>
      <c r="E1663" s="195" t="s">
        <v>373</v>
      </c>
      <c r="F1663" s="71" t="s">
        <v>367</v>
      </c>
      <c r="G1663" s="71" t="s">
        <v>2135</v>
      </c>
      <c r="H1663" s="71" t="s">
        <v>2111</v>
      </c>
      <c r="I1663" s="71" t="s">
        <v>1667</v>
      </c>
    </row>
    <row r="1664" spans="1:9" ht="29" x14ac:dyDescent="0.35">
      <c r="A1664" s="195">
        <v>12</v>
      </c>
      <c r="B1664" s="195">
        <v>29</v>
      </c>
      <c r="C1664" s="195" t="s">
        <v>2140</v>
      </c>
      <c r="D1664" s="64">
        <v>1265</v>
      </c>
      <c r="E1664" s="195" t="s">
        <v>373</v>
      </c>
      <c r="F1664" s="71" t="s">
        <v>367</v>
      </c>
      <c r="G1664" s="71" t="s">
        <v>2135</v>
      </c>
      <c r="H1664" s="71" t="s">
        <v>2111</v>
      </c>
      <c r="I1664" s="71" t="s">
        <v>1671</v>
      </c>
    </row>
    <row r="1665" spans="1:9" ht="29" x14ac:dyDescent="0.35">
      <c r="A1665" s="195">
        <v>12</v>
      </c>
      <c r="B1665" s="195">
        <v>30</v>
      </c>
      <c r="C1665" s="195" t="s">
        <v>2141</v>
      </c>
      <c r="D1665" s="64">
        <v>21370</v>
      </c>
      <c r="E1665" s="195" t="s">
        <v>366</v>
      </c>
      <c r="F1665" s="71" t="s">
        <v>367</v>
      </c>
      <c r="G1665" s="71" t="s">
        <v>2135</v>
      </c>
      <c r="H1665" s="71" t="s">
        <v>2117</v>
      </c>
      <c r="I1665" s="71" t="s">
        <v>1374</v>
      </c>
    </row>
    <row r="1666" spans="1:9" ht="29" x14ac:dyDescent="0.35">
      <c r="A1666" s="195">
        <v>12</v>
      </c>
      <c r="B1666" s="195">
        <v>31</v>
      </c>
      <c r="C1666" s="195" t="s">
        <v>2142</v>
      </c>
      <c r="D1666" s="64">
        <v>10515</v>
      </c>
      <c r="E1666" s="195" t="s">
        <v>373</v>
      </c>
      <c r="F1666" s="71" t="s">
        <v>367</v>
      </c>
      <c r="G1666" s="71" t="s">
        <v>2135</v>
      </c>
      <c r="H1666" s="71" t="s">
        <v>2117</v>
      </c>
      <c r="I1666" s="71" t="s">
        <v>1657</v>
      </c>
    </row>
    <row r="1667" spans="1:9" ht="29" x14ac:dyDescent="0.35">
      <c r="A1667" s="195">
        <v>12</v>
      </c>
      <c r="B1667" s="195">
        <v>32</v>
      </c>
      <c r="C1667" s="195" t="s">
        <v>2143</v>
      </c>
      <c r="D1667" s="64">
        <v>7210</v>
      </c>
      <c r="E1667" s="195" t="s">
        <v>373</v>
      </c>
      <c r="F1667" s="71" t="s">
        <v>367</v>
      </c>
      <c r="G1667" s="71" t="s">
        <v>2135</v>
      </c>
      <c r="H1667" s="71" t="s">
        <v>2117</v>
      </c>
      <c r="I1667" s="71" t="s">
        <v>1663</v>
      </c>
    </row>
    <row r="1668" spans="1:9" ht="29" x14ac:dyDescent="0.35">
      <c r="A1668" s="195">
        <v>12</v>
      </c>
      <c r="B1668" s="195">
        <v>33</v>
      </c>
      <c r="C1668" s="195" t="s">
        <v>2144</v>
      </c>
      <c r="D1668" s="64">
        <v>3645</v>
      </c>
      <c r="E1668" s="195" t="s">
        <v>373</v>
      </c>
      <c r="F1668" s="71" t="s">
        <v>367</v>
      </c>
      <c r="G1668" s="71" t="s">
        <v>2135</v>
      </c>
      <c r="H1668" s="71" t="s">
        <v>2117</v>
      </c>
      <c r="I1668" s="71" t="s">
        <v>1667</v>
      </c>
    </row>
    <row r="1669" spans="1:9" ht="29" x14ac:dyDescent="0.35">
      <c r="A1669" s="195">
        <v>12</v>
      </c>
      <c r="B1669" s="195">
        <v>34</v>
      </c>
      <c r="C1669" s="195" t="s">
        <v>2145</v>
      </c>
      <c r="D1669" s="195">
        <v>0</v>
      </c>
      <c r="E1669" s="195" t="s">
        <v>373</v>
      </c>
      <c r="F1669" s="71" t="s">
        <v>367</v>
      </c>
      <c r="G1669" s="71" t="s">
        <v>2135</v>
      </c>
      <c r="H1669" s="71" t="s">
        <v>2117</v>
      </c>
      <c r="I1669" s="71" t="s">
        <v>1671</v>
      </c>
    </row>
    <row r="1670" spans="1:9" ht="29" x14ac:dyDescent="0.35">
      <c r="A1670" s="195">
        <v>12</v>
      </c>
      <c r="B1670" s="195">
        <v>35</v>
      </c>
      <c r="C1670" s="195" t="s">
        <v>2146</v>
      </c>
      <c r="D1670" s="64">
        <v>27180</v>
      </c>
      <c r="E1670" s="195" t="s">
        <v>366</v>
      </c>
      <c r="F1670" s="71" t="s">
        <v>367</v>
      </c>
      <c r="G1670" s="71" t="s">
        <v>2135</v>
      </c>
      <c r="H1670" s="71" t="s">
        <v>2123</v>
      </c>
      <c r="I1670" s="71" t="s">
        <v>1374</v>
      </c>
    </row>
    <row r="1671" spans="1:9" ht="29" x14ac:dyDescent="0.35">
      <c r="A1671" s="195">
        <v>12</v>
      </c>
      <c r="B1671" s="195">
        <v>36</v>
      </c>
      <c r="C1671" s="195" t="s">
        <v>2147</v>
      </c>
      <c r="D1671" s="64">
        <v>18875</v>
      </c>
      <c r="E1671" s="195" t="s">
        <v>373</v>
      </c>
      <c r="F1671" s="71" t="s">
        <v>367</v>
      </c>
      <c r="G1671" s="71" t="s">
        <v>2135</v>
      </c>
      <c r="H1671" s="71" t="s">
        <v>2123</v>
      </c>
      <c r="I1671" s="71" t="s">
        <v>1657</v>
      </c>
    </row>
    <row r="1672" spans="1:9" ht="29" x14ac:dyDescent="0.35">
      <c r="A1672" s="195">
        <v>12</v>
      </c>
      <c r="B1672" s="195">
        <v>37</v>
      </c>
      <c r="C1672" s="195" t="s">
        <v>2148</v>
      </c>
      <c r="D1672" s="64">
        <v>6790</v>
      </c>
      <c r="E1672" s="195" t="s">
        <v>373</v>
      </c>
      <c r="F1672" s="71" t="s">
        <v>367</v>
      </c>
      <c r="G1672" s="71" t="s">
        <v>2135</v>
      </c>
      <c r="H1672" s="71" t="s">
        <v>2123</v>
      </c>
      <c r="I1672" s="71" t="s">
        <v>1663</v>
      </c>
    </row>
    <row r="1673" spans="1:9" ht="29" x14ac:dyDescent="0.35">
      <c r="A1673" s="195">
        <v>12</v>
      </c>
      <c r="B1673" s="195">
        <v>38</v>
      </c>
      <c r="C1673" s="195" t="s">
        <v>2149</v>
      </c>
      <c r="D1673" s="64">
        <v>1515</v>
      </c>
      <c r="E1673" s="195" t="s">
        <v>373</v>
      </c>
      <c r="F1673" s="71" t="s">
        <v>367</v>
      </c>
      <c r="G1673" s="71" t="s">
        <v>2135</v>
      </c>
      <c r="H1673" s="71" t="s">
        <v>2123</v>
      </c>
      <c r="I1673" s="71" t="s">
        <v>1667</v>
      </c>
    </row>
    <row r="1674" spans="1:9" ht="29" x14ac:dyDescent="0.35">
      <c r="A1674" s="195">
        <v>12</v>
      </c>
      <c r="B1674" s="195">
        <v>39</v>
      </c>
      <c r="C1674" s="195" t="s">
        <v>2150</v>
      </c>
      <c r="D1674" s="195">
        <v>0</v>
      </c>
      <c r="E1674" s="195" t="s">
        <v>373</v>
      </c>
      <c r="F1674" s="71" t="s">
        <v>367</v>
      </c>
      <c r="G1674" s="71" t="s">
        <v>2135</v>
      </c>
      <c r="H1674" s="71" t="s">
        <v>2123</v>
      </c>
      <c r="I1674" s="71" t="s">
        <v>1671</v>
      </c>
    </row>
    <row r="1675" spans="1:9" ht="29" x14ac:dyDescent="0.35">
      <c r="A1675" s="195">
        <v>12</v>
      </c>
      <c r="B1675" s="195">
        <v>40</v>
      </c>
      <c r="C1675" s="195" t="s">
        <v>2151</v>
      </c>
      <c r="D1675" s="64">
        <v>79355</v>
      </c>
      <c r="E1675" s="195" t="s">
        <v>366</v>
      </c>
      <c r="F1675" s="71" t="s">
        <v>367</v>
      </c>
      <c r="G1675" s="71" t="s">
        <v>2135</v>
      </c>
      <c r="H1675" s="71" t="s">
        <v>2129</v>
      </c>
      <c r="I1675" s="71" t="s">
        <v>1374</v>
      </c>
    </row>
    <row r="1676" spans="1:9" ht="29" x14ac:dyDescent="0.35">
      <c r="A1676" s="195">
        <v>12</v>
      </c>
      <c r="B1676" s="195">
        <v>41</v>
      </c>
      <c r="C1676" s="195" t="s">
        <v>2152</v>
      </c>
      <c r="D1676" s="64">
        <v>73330</v>
      </c>
      <c r="E1676" s="195" t="s">
        <v>373</v>
      </c>
      <c r="F1676" s="71" t="s">
        <v>367</v>
      </c>
      <c r="G1676" s="71" t="s">
        <v>2135</v>
      </c>
      <c r="H1676" s="71" t="s">
        <v>2129</v>
      </c>
      <c r="I1676" s="71" t="s">
        <v>1657</v>
      </c>
    </row>
    <row r="1677" spans="1:9" ht="29" x14ac:dyDescent="0.35">
      <c r="A1677" s="195">
        <v>12</v>
      </c>
      <c r="B1677" s="195">
        <v>42</v>
      </c>
      <c r="C1677" s="195" t="s">
        <v>2153</v>
      </c>
      <c r="D1677" s="64">
        <v>5210</v>
      </c>
      <c r="E1677" s="195" t="s">
        <v>373</v>
      </c>
      <c r="F1677" s="71" t="s">
        <v>367</v>
      </c>
      <c r="G1677" s="71" t="s">
        <v>2135</v>
      </c>
      <c r="H1677" s="71" t="s">
        <v>2129</v>
      </c>
      <c r="I1677" s="71" t="s">
        <v>1663</v>
      </c>
    </row>
    <row r="1678" spans="1:9" ht="29" x14ac:dyDescent="0.35">
      <c r="A1678" s="195">
        <v>12</v>
      </c>
      <c r="B1678" s="195">
        <v>43</v>
      </c>
      <c r="C1678" s="195" t="s">
        <v>2154</v>
      </c>
      <c r="D1678" s="195">
        <v>815</v>
      </c>
      <c r="E1678" s="195" t="s">
        <v>373</v>
      </c>
      <c r="F1678" s="71" t="s">
        <v>367</v>
      </c>
      <c r="G1678" s="71" t="s">
        <v>2135</v>
      </c>
      <c r="H1678" s="71" t="s">
        <v>2129</v>
      </c>
      <c r="I1678" s="71" t="s">
        <v>1667</v>
      </c>
    </row>
    <row r="1679" spans="1:9" ht="29" x14ac:dyDescent="0.35">
      <c r="A1679" s="195">
        <v>12</v>
      </c>
      <c r="B1679" s="195">
        <v>44</v>
      </c>
      <c r="C1679" s="195" t="s">
        <v>2155</v>
      </c>
      <c r="D1679" s="195">
        <v>0</v>
      </c>
      <c r="E1679" s="195" t="s">
        <v>373</v>
      </c>
      <c r="F1679" s="71" t="s">
        <v>367</v>
      </c>
      <c r="G1679" s="71" t="s">
        <v>2135</v>
      </c>
      <c r="H1679" s="71" t="s">
        <v>2129</v>
      </c>
      <c r="I1679" s="71" t="s">
        <v>1671</v>
      </c>
    </row>
    <row r="1680" spans="1:9" ht="29" x14ac:dyDescent="0.35">
      <c r="A1680" s="195">
        <v>12</v>
      </c>
      <c r="B1680" s="195">
        <v>45</v>
      </c>
      <c r="C1680" s="195" t="s">
        <v>2156</v>
      </c>
      <c r="D1680" s="64">
        <v>287125</v>
      </c>
      <c r="E1680" s="195" t="s">
        <v>366</v>
      </c>
      <c r="F1680" s="71" t="s">
        <v>367</v>
      </c>
      <c r="G1680" s="71" t="s">
        <v>2157</v>
      </c>
      <c r="H1680" s="71" t="s">
        <v>363</v>
      </c>
      <c r="I1680" s="71" t="s">
        <v>1374</v>
      </c>
    </row>
    <row r="1681" spans="1:9" ht="29" x14ac:dyDescent="0.35">
      <c r="A1681" s="195">
        <v>12</v>
      </c>
      <c r="B1681" s="195">
        <v>46</v>
      </c>
      <c r="C1681" s="195" t="s">
        <v>2158</v>
      </c>
      <c r="D1681" s="64">
        <v>61245</v>
      </c>
      <c r="E1681" s="195" t="s">
        <v>366</v>
      </c>
      <c r="F1681" s="71" t="s">
        <v>367</v>
      </c>
      <c r="G1681" s="71" t="s">
        <v>2157</v>
      </c>
      <c r="H1681" s="71" t="s">
        <v>2111</v>
      </c>
      <c r="I1681" s="71" t="s">
        <v>1374</v>
      </c>
    </row>
    <row r="1682" spans="1:9" ht="29" x14ac:dyDescent="0.35">
      <c r="A1682" s="195">
        <v>12</v>
      </c>
      <c r="B1682" s="195">
        <v>47</v>
      </c>
      <c r="C1682" s="195" t="s">
        <v>2159</v>
      </c>
      <c r="D1682" s="64">
        <v>12435</v>
      </c>
      <c r="E1682" s="195" t="s">
        <v>373</v>
      </c>
      <c r="F1682" s="71" t="s">
        <v>367</v>
      </c>
      <c r="G1682" s="71" t="s">
        <v>2157</v>
      </c>
      <c r="H1682" s="71" t="s">
        <v>2111</v>
      </c>
      <c r="I1682" s="71" t="s">
        <v>1657</v>
      </c>
    </row>
    <row r="1683" spans="1:9" ht="29" x14ac:dyDescent="0.35">
      <c r="A1683" s="195">
        <v>12</v>
      </c>
      <c r="B1683" s="195">
        <v>48</v>
      </c>
      <c r="C1683" s="195" t="s">
        <v>2160</v>
      </c>
      <c r="D1683" s="64">
        <v>15345</v>
      </c>
      <c r="E1683" s="195" t="s">
        <v>373</v>
      </c>
      <c r="F1683" s="71" t="s">
        <v>367</v>
      </c>
      <c r="G1683" s="71" t="s">
        <v>2157</v>
      </c>
      <c r="H1683" s="71" t="s">
        <v>2111</v>
      </c>
      <c r="I1683" s="71" t="s">
        <v>1663</v>
      </c>
    </row>
    <row r="1684" spans="1:9" ht="29" x14ac:dyDescent="0.35">
      <c r="A1684" s="195">
        <v>12</v>
      </c>
      <c r="B1684" s="195">
        <v>49</v>
      </c>
      <c r="C1684" s="195" t="s">
        <v>2161</v>
      </c>
      <c r="D1684" s="64">
        <v>30660</v>
      </c>
      <c r="E1684" s="195" t="s">
        <v>373</v>
      </c>
      <c r="F1684" s="71" t="s">
        <v>367</v>
      </c>
      <c r="G1684" s="71" t="s">
        <v>2157</v>
      </c>
      <c r="H1684" s="71" t="s">
        <v>2111</v>
      </c>
      <c r="I1684" s="71" t="s">
        <v>1667</v>
      </c>
    </row>
    <row r="1685" spans="1:9" ht="29" x14ac:dyDescent="0.35">
      <c r="A1685" s="195">
        <v>12</v>
      </c>
      <c r="B1685" s="195">
        <v>50</v>
      </c>
      <c r="C1685" s="195" t="s">
        <v>2162</v>
      </c>
      <c r="D1685" s="64">
        <v>2805</v>
      </c>
      <c r="E1685" s="195" t="s">
        <v>373</v>
      </c>
      <c r="F1685" s="71" t="s">
        <v>367</v>
      </c>
      <c r="G1685" s="71" t="s">
        <v>2157</v>
      </c>
      <c r="H1685" s="71" t="s">
        <v>2111</v>
      </c>
      <c r="I1685" s="71" t="s">
        <v>1671</v>
      </c>
    </row>
    <row r="1686" spans="1:9" ht="29" x14ac:dyDescent="0.35">
      <c r="A1686" s="195">
        <v>12</v>
      </c>
      <c r="B1686" s="195">
        <v>51</v>
      </c>
      <c r="C1686" s="195" t="s">
        <v>2163</v>
      </c>
      <c r="D1686" s="64">
        <v>50300</v>
      </c>
      <c r="E1686" s="195" t="s">
        <v>366</v>
      </c>
      <c r="F1686" s="71" t="s">
        <v>367</v>
      </c>
      <c r="G1686" s="71" t="s">
        <v>2157</v>
      </c>
      <c r="H1686" s="71" t="s">
        <v>2117</v>
      </c>
      <c r="I1686" s="71" t="s">
        <v>1374</v>
      </c>
    </row>
    <row r="1687" spans="1:9" ht="29" x14ac:dyDescent="0.35">
      <c r="A1687" s="195">
        <v>12</v>
      </c>
      <c r="B1687" s="195">
        <v>52</v>
      </c>
      <c r="C1687" s="195" t="s">
        <v>2164</v>
      </c>
      <c r="D1687" s="64">
        <v>26650</v>
      </c>
      <c r="E1687" s="195" t="s">
        <v>373</v>
      </c>
      <c r="F1687" s="71" t="s">
        <v>367</v>
      </c>
      <c r="G1687" s="71" t="s">
        <v>2157</v>
      </c>
      <c r="H1687" s="71" t="s">
        <v>2117</v>
      </c>
      <c r="I1687" s="71" t="s">
        <v>1657</v>
      </c>
    </row>
    <row r="1688" spans="1:9" ht="29" x14ac:dyDescent="0.35">
      <c r="A1688" s="195">
        <v>12</v>
      </c>
      <c r="B1688" s="195">
        <v>53</v>
      </c>
      <c r="C1688" s="195" t="s">
        <v>2165</v>
      </c>
      <c r="D1688" s="64">
        <v>17050</v>
      </c>
      <c r="E1688" s="195" t="s">
        <v>373</v>
      </c>
      <c r="F1688" s="71" t="s">
        <v>367</v>
      </c>
      <c r="G1688" s="71" t="s">
        <v>2157</v>
      </c>
      <c r="H1688" s="71" t="s">
        <v>2117</v>
      </c>
      <c r="I1688" s="71" t="s">
        <v>1663</v>
      </c>
    </row>
    <row r="1689" spans="1:9" ht="29" x14ac:dyDescent="0.35">
      <c r="A1689" s="195">
        <v>12</v>
      </c>
      <c r="B1689" s="195">
        <v>54</v>
      </c>
      <c r="C1689" s="195" t="s">
        <v>2166</v>
      </c>
      <c r="D1689" s="64">
        <v>6600</v>
      </c>
      <c r="E1689" s="195" t="s">
        <v>373</v>
      </c>
      <c r="F1689" s="71" t="s">
        <v>367</v>
      </c>
      <c r="G1689" s="71" t="s">
        <v>2157</v>
      </c>
      <c r="H1689" s="71" t="s">
        <v>2117</v>
      </c>
      <c r="I1689" s="71" t="s">
        <v>1667</v>
      </c>
    </row>
    <row r="1690" spans="1:9" ht="29" x14ac:dyDescent="0.35">
      <c r="A1690" s="195">
        <v>12</v>
      </c>
      <c r="B1690" s="195">
        <v>55</v>
      </c>
      <c r="C1690" s="195" t="s">
        <v>2167</v>
      </c>
      <c r="D1690" s="195">
        <v>0</v>
      </c>
      <c r="E1690" s="195" t="s">
        <v>373</v>
      </c>
      <c r="F1690" s="71" t="s">
        <v>367</v>
      </c>
      <c r="G1690" s="71" t="s">
        <v>2157</v>
      </c>
      <c r="H1690" s="71" t="s">
        <v>2117</v>
      </c>
      <c r="I1690" s="71" t="s">
        <v>1671</v>
      </c>
    </row>
    <row r="1691" spans="1:9" ht="29" x14ac:dyDescent="0.35">
      <c r="A1691" s="195">
        <v>12</v>
      </c>
      <c r="B1691" s="195">
        <v>56</v>
      </c>
      <c r="C1691" s="195" t="s">
        <v>2168</v>
      </c>
      <c r="D1691" s="64">
        <v>59740</v>
      </c>
      <c r="E1691" s="195" t="s">
        <v>366</v>
      </c>
      <c r="F1691" s="71" t="s">
        <v>367</v>
      </c>
      <c r="G1691" s="71" t="s">
        <v>2157</v>
      </c>
      <c r="H1691" s="71" t="s">
        <v>2123</v>
      </c>
      <c r="I1691" s="71" t="s">
        <v>1374</v>
      </c>
    </row>
    <row r="1692" spans="1:9" ht="29" x14ac:dyDescent="0.35">
      <c r="A1692" s="195">
        <v>12</v>
      </c>
      <c r="B1692" s="195">
        <v>57</v>
      </c>
      <c r="C1692" s="195" t="s">
        <v>2169</v>
      </c>
      <c r="D1692" s="64">
        <v>46030</v>
      </c>
      <c r="E1692" s="195" t="s">
        <v>373</v>
      </c>
      <c r="F1692" s="71" t="s">
        <v>367</v>
      </c>
      <c r="G1692" s="71" t="s">
        <v>2157</v>
      </c>
      <c r="H1692" s="71" t="s">
        <v>2123</v>
      </c>
      <c r="I1692" s="71" t="s">
        <v>1657</v>
      </c>
    </row>
    <row r="1693" spans="1:9" ht="29" x14ac:dyDescent="0.35">
      <c r="A1693" s="195">
        <v>12</v>
      </c>
      <c r="B1693" s="195">
        <v>58</v>
      </c>
      <c r="C1693" s="195" t="s">
        <v>2170</v>
      </c>
      <c r="D1693" s="64">
        <v>12130</v>
      </c>
      <c r="E1693" s="195" t="s">
        <v>373</v>
      </c>
      <c r="F1693" s="71" t="s">
        <v>367</v>
      </c>
      <c r="G1693" s="71" t="s">
        <v>2157</v>
      </c>
      <c r="H1693" s="71" t="s">
        <v>2123</v>
      </c>
      <c r="I1693" s="71" t="s">
        <v>1663</v>
      </c>
    </row>
    <row r="1694" spans="1:9" ht="29" x14ac:dyDescent="0.35">
      <c r="A1694" s="195">
        <v>12</v>
      </c>
      <c r="B1694" s="195">
        <v>59</v>
      </c>
      <c r="C1694" s="195" t="s">
        <v>2171</v>
      </c>
      <c r="D1694" s="64">
        <v>1580</v>
      </c>
      <c r="E1694" s="195" t="s">
        <v>373</v>
      </c>
      <c r="F1694" s="71" t="s">
        <v>367</v>
      </c>
      <c r="G1694" s="71" t="s">
        <v>2157</v>
      </c>
      <c r="H1694" s="71" t="s">
        <v>2123</v>
      </c>
      <c r="I1694" s="71" t="s">
        <v>1667</v>
      </c>
    </row>
    <row r="1695" spans="1:9" ht="29" x14ac:dyDescent="0.35">
      <c r="A1695" s="195">
        <v>12</v>
      </c>
      <c r="B1695" s="195">
        <v>60</v>
      </c>
      <c r="C1695" s="195" t="s">
        <v>2172</v>
      </c>
      <c r="D1695" s="195">
        <v>0</v>
      </c>
      <c r="E1695" s="195" t="s">
        <v>373</v>
      </c>
      <c r="F1695" s="71" t="s">
        <v>367</v>
      </c>
      <c r="G1695" s="71" t="s">
        <v>2157</v>
      </c>
      <c r="H1695" s="71" t="s">
        <v>2123</v>
      </c>
      <c r="I1695" s="71" t="s">
        <v>1671</v>
      </c>
    </row>
    <row r="1696" spans="1:9" ht="29" x14ac:dyDescent="0.35">
      <c r="A1696" s="195">
        <v>12</v>
      </c>
      <c r="B1696" s="195">
        <v>61</v>
      </c>
      <c r="C1696" s="195" t="s">
        <v>2173</v>
      </c>
      <c r="D1696" s="64">
        <v>115835</v>
      </c>
      <c r="E1696" s="195" t="s">
        <v>366</v>
      </c>
      <c r="F1696" s="71" t="s">
        <v>367</v>
      </c>
      <c r="G1696" s="71" t="s">
        <v>2157</v>
      </c>
      <c r="H1696" s="71" t="s">
        <v>2129</v>
      </c>
      <c r="I1696" s="71" t="s">
        <v>1374</v>
      </c>
    </row>
    <row r="1697" spans="1:9" ht="29" x14ac:dyDescent="0.35">
      <c r="A1697" s="195">
        <v>12</v>
      </c>
      <c r="B1697" s="195">
        <v>62</v>
      </c>
      <c r="C1697" s="195" t="s">
        <v>2174</v>
      </c>
      <c r="D1697" s="64">
        <v>109565</v>
      </c>
      <c r="E1697" s="195" t="s">
        <v>373</v>
      </c>
      <c r="F1697" s="71" t="s">
        <v>367</v>
      </c>
      <c r="G1697" s="71" t="s">
        <v>2157</v>
      </c>
      <c r="H1697" s="71" t="s">
        <v>2129</v>
      </c>
      <c r="I1697" s="71" t="s">
        <v>1657</v>
      </c>
    </row>
    <row r="1698" spans="1:9" ht="29" x14ac:dyDescent="0.35">
      <c r="A1698" s="195">
        <v>12</v>
      </c>
      <c r="B1698" s="195">
        <v>63</v>
      </c>
      <c r="C1698" s="195" t="s">
        <v>2175</v>
      </c>
      <c r="D1698" s="64">
        <v>5720</v>
      </c>
      <c r="E1698" s="195" t="s">
        <v>373</v>
      </c>
      <c r="F1698" s="71" t="s">
        <v>367</v>
      </c>
      <c r="G1698" s="71" t="s">
        <v>2157</v>
      </c>
      <c r="H1698" s="71" t="s">
        <v>2129</v>
      </c>
      <c r="I1698" s="71" t="s">
        <v>1663</v>
      </c>
    </row>
    <row r="1699" spans="1:9" ht="29" x14ac:dyDescent="0.35">
      <c r="A1699" s="195">
        <v>12</v>
      </c>
      <c r="B1699" s="195">
        <v>64</v>
      </c>
      <c r="C1699" s="195" t="s">
        <v>2176</v>
      </c>
      <c r="D1699" s="195">
        <v>550</v>
      </c>
      <c r="E1699" s="195" t="s">
        <v>373</v>
      </c>
      <c r="F1699" s="71" t="s">
        <v>367</v>
      </c>
      <c r="G1699" s="71" t="s">
        <v>2157</v>
      </c>
      <c r="H1699" s="71" t="s">
        <v>2129</v>
      </c>
      <c r="I1699" s="71" t="s">
        <v>1667</v>
      </c>
    </row>
    <row r="1700" spans="1:9" ht="29" x14ac:dyDescent="0.35">
      <c r="A1700" s="195">
        <v>12</v>
      </c>
      <c r="B1700" s="195">
        <v>65</v>
      </c>
      <c r="C1700" s="195" t="s">
        <v>2177</v>
      </c>
      <c r="D1700" s="195">
        <v>0</v>
      </c>
      <c r="E1700" s="195" t="s">
        <v>373</v>
      </c>
      <c r="F1700" s="71" t="s">
        <v>367</v>
      </c>
      <c r="G1700" s="71" t="s">
        <v>2157</v>
      </c>
      <c r="H1700" s="71" t="s">
        <v>2129</v>
      </c>
      <c r="I1700" s="71" t="s">
        <v>1671</v>
      </c>
    </row>
    <row r="1701" spans="1:9" ht="29" x14ac:dyDescent="0.35">
      <c r="A1701" s="195">
        <v>12</v>
      </c>
      <c r="B1701" s="195">
        <v>66</v>
      </c>
      <c r="C1701" s="195" t="s">
        <v>2178</v>
      </c>
      <c r="D1701" s="64">
        <v>294550</v>
      </c>
      <c r="E1701" s="195" t="s">
        <v>366</v>
      </c>
      <c r="F1701" s="71" t="s">
        <v>367</v>
      </c>
      <c r="G1701" s="71" t="s">
        <v>2179</v>
      </c>
      <c r="H1701" s="71" t="s">
        <v>363</v>
      </c>
      <c r="I1701" s="71" t="s">
        <v>1374</v>
      </c>
    </row>
    <row r="1702" spans="1:9" ht="29" x14ac:dyDescent="0.35">
      <c r="A1702" s="195">
        <v>12</v>
      </c>
      <c r="B1702" s="195">
        <v>67</v>
      </c>
      <c r="C1702" s="195" t="s">
        <v>2180</v>
      </c>
      <c r="D1702" s="64">
        <v>64525</v>
      </c>
      <c r="E1702" s="195" t="s">
        <v>366</v>
      </c>
      <c r="F1702" s="71" t="s">
        <v>367</v>
      </c>
      <c r="G1702" s="71" t="s">
        <v>2179</v>
      </c>
      <c r="H1702" s="71" t="s">
        <v>2111</v>
      </c>
      <c r="I1702" s="71" t="s">
        <v>1374</v>
      </c>
    </row>
    <row r="1703" spans="1:9" ht="29" x14ac:dyDescent="0.35">
      <c r="A1703" s="195">
        <v>12</v>
      </c>
      <c r="B1703" s="195">
        <v>68</v>
      </c>
      <c r="C1703" s="195" t="s">
        <v>2181</v>
      </c>
      <c r="D1703" s="64">
        <v>15400</v>
      </c>
      <c r="E1703" s="195" t="s">
        <v>373</v>
      </c>
      <c r="F1703" s="71" t="s">
        <v>367</v>
      </c>
      <c r="G1703" s="71" t="s">
        <v>2179</v>
      </c>
      <c r="H1703" s="71" t="s">
        <v>2111</v>
      </c>
      <c r="I1703" s="71" t="s">
        <v>1657</v>
      </c>
    </row>
    <row r="1704" spans="1:9" ht="29" x14ac:dyDescent="0.35">
      <c r="A1704" s="195">
        <v>12</v>
      </c>
      <c r="B1704" s="195">
        <v>69</v>
      </c>
      <c r="C1704" s="195" t="s">
        <v>2182</v>
      </c>
      <c r="D1704" s="64">
        <v>15290</v>
      </c>
      <c r="E1704" s="195" t="s">
        <v>373</v>
      </c>
      <c r="F1704" s="71" t="s">
        <v>367</v>
      </c>
      <c r="G1704" s="71" t="s">
        <v>2179</v>
      </c>
      <c r="H1704" s="71" t="s">
        <v>2111</v>
      </c>
      <c r="I1704" s="71" t="s">
        <v>1663</v>
      </c>
    </row>
    <row r="1705" spans="1:9" ht="29" x14ac:dyDescent="0.35">
      <c r="A1705" s="195">
        <v>12</v>
      </c>
      <c r="B1705" s="195">
        <v>70</v>
      </c>
      <c r="C1705" s="195" t="s">
        <v>2183</v>
      </c>
      <c r="D1705" s="64">
        <v>30980</v>
      </c>
      <c r="E1705" s="195" t="s">
        <v>373</v>
      </c>
      <c r="F1705" s="71" t="s">
        <v>367</v>
      </c>
      <c r="G1705" s="71" t="s">
        <v>2179</v>
      </c>
      <c r="H1705" s="71" t="s">
        <v>2111</v>
      </c>
      <c r="I1705" s="71" t="s">
        <v>1667</v>
      </c>
    </row>
    <row r="1706" spans="1:9" ht="29" x14ac:dyDescent="0.35">
      <c r="A1706" s="195">
        <v>12</v>
      </c>
      <c r="B1706" s="195">
        <v>71</v>
      </c>
      <c r="C1706" s="195" t="s">
        <v>2184</v>
      </c>
      <c r="D1706" s="64">
        <v>2855</v>
      </c>
      <c r="E1706" s="195" t="s">
        <v>373</v>
      </c>
      <c r="F1706" s="71" t="s">
        <v>367</v>
      </c>
      <c r="G1706" s="71" t="s">
        <v>2179</v>
      </c>
      <c r="H1706" s="71" t="s">
        <v>2111</v>
      </c>
      <c r="I1706" s="71" t="s">
        <v>1671</v>
      </c>
    </row>
    <row r="1707" spans="1:9" ht="29" x14ac:dyDescent="0.35">
      <c r="A1707" s="195">
        <v>12</v>
      </c>
      <c r="B1707" s="195">
        <v>72</v>
      </c>
      <c r="C1707" s="195" t="s">
        <v>2185</v>
      </c>
      <c r="D1707" s="64">
        <v>51750</v>
      </c>
      <c r="E1707" s="195" t="s">
        <v>366</v>
      </c>
      <c r="F1707" s="71" t="s">
        <v>367</v>
      </c>
      <c r="G1707" s="71" t="s">
        <v>2179</v>
      </c>
      <c r="H1707" s="71" t="s">
        <v>2117</v>
      </c>
      <c r="I1707" s="71" t="s">
        <v>1374</v>
      </c>
    </row>
    <row r="1708" spans="1:9" ht="29" x14ac:dyDescent="0.35">
      <c r="A1708" s="195">
        <v>12</v>
      </c>
      <c r="B1708" s="195">
        <v>73</v>
      </c>
      <c r="C1708" s="195" t="s">
        <v>2186</v>
      </c>
      <c r="D1708" s="64">
        <v>27590</v>
      </c>
      <c r="E1708" s="195" t="s">
        <v>373</v>
      </c>
      <c r="F1708" s="71" t="s">
        <v>367</v>
      </c>
      <c r="G1708" s="71" t="s">
        <v>2179</v>
      </c>
      <c r="H1708" s="71" t="s">
        <v>2117</v>
      </c>
      <c r="I1708" s="71" t="s">
        <v>1657</v>
      </c>
    </row>
    <row r="1709" spans="1:9" ht="29" x14ac:dyDescent="0.35">
      <c r="A1709" s="195">
        <v>12</v>
      </c>
      <c r="B1709" s="195">
        <v>74</v>
      </c>
      <c r="C1709" s="195" t="s">
        <v>2187</v>
      </c>
      <c r="D1709" s="64">
        <v>17480</v>
      </c>
      <c r="E1709" s="195" t="s">
        <v>373</v>
      </c>
      <c r="F1709" s="71" t="s">
        <v>367</v>
      </c>
      <c r="G1709" s="71" t="s">
        <v>2179</v>
      </c>
      <c r="H1709" s="71" t="s">
        <v>2117</v>
      </c>
      <c r="I1709" s="71" t="s">
        <v>1663</v>
      </c>
    </row>
    <row r="1710" spans="1:9" ht="29" x14ac:dyDescent="0.35">
      <c r="A1710" s="195">
        <v>12</v>
      </c>
      <c r="B1710" s="195">
        <v>75</v>
      </c>
      <c r="C1710" s="195" t="s">
        <v>2188</v>
      </c>
      <c r="D1710" s="64">
        <v>6675</v>
      </c>
      <c r="E1710" s="195" t="s">
        <v>373</v>
      </c>
      <c r="F1710" s="71" t="s">
        <v>367</v>
      </c>
      <c r="G1710" s="71" t="s">
        <v>2179</v>
      </c>
      <c r="H1710" s="71" t="s">
        <v>2117</v>
      </c>
      <c r="I1710" s="71" t="s">
        <v>1667</v>
      </c>
    </row>
    <row r="1711" spans="1:9" ht="29" x14ac:dyDescent="0.35">
      <c r="A1711" s="195">
        <v>12</v>
      </c>
      <c r="B1711" s="195">
        <v>76</v>
      </c>
      <c r="C1711" s="195" t="s">
        <v>2189</v>
      </c>
      <c r="D1711" s="195">
        <v>0</v>
      </c>
      <c r="E1711" s="195" t="s">
        <v>373</v>
      </c>
      <c r="F1711" s="71" t="s">
        <v>367</v>
      </c>
      <c r="G1711" s="71" t="s">
        <v>2179</v>
      </c>
      <c r="H1711" s="71" t="s">
        <v>2117</v>
      </c>
      <c r="I1711" s="71" t="s">
        <v>1671</v>
      </c>
    </row>
    <row r="1712" spans="1:9" ht="29" x14ac:dyDescent="0.35">
      <c r="A1712" s="195">
        <v>12</v>
      </c>
      <c r="B1712" s="195">
        <v>77</v>
      </c>
      <c r="C1712" s="195" t="s">
        <v>2190</v>
      </c>
      <c r="D1712" s="64">
        <v>63705</v>
      </c>
      <c r="E1712" s="195" t="s">
        <v>366</v>
      </c>
      <c r="F1712" s="71" t="s">
        <v>367</v>
      </c>
      <c r="G1712" s="71" t="s">
        <v>2179</v>
      </c>
      <c r="H1712" s="71" t="s">
        <v>2123</v>
      </c>
      <c r="I1712" s="71" t="s">
        <v>1374</v>
      </c>
    </row>
    <row r="1713" spans="1:9" ht="29" x14ac:dyDescent="0.35">
      <c r="A1713" s="195">
        <v>12</v>
      </c>
      <c r="B1713" s="195">
        <v>78</v>
      </c>
      <c r="C1713" s="195" t="s">
        <v>2191</v>
      </c>
      <c r="D1713" s="64">
        <v>48630</v>
      </c>
      <c r="E1713" s="195" t="s">
        <v>373</v>
      </c>
      <c r="F1713" s="71" t="s">
        <v>367</v>
      </c>
      <c r="G1713" s="71" t="s">
        <v>2179</v>
      </c>
      <c r="H1713" s="71" t="s">
        <v>2123</v>
      </c>
      <c r="I1713" s="71" t="s">
        <v>1657</v>
      </c>
    </row>
    <row r="1714" spans="1:9" ht="29" x14ac:dyDescent="0.35">
      <c r="A1714" s="195">
        <v>12</v>
      </c>
      <c r="B1714" s="195">
        <v>79</v>
      </c>
      <c r="C1714" s="195" t="s">
        <v>2192</v>
      </c>
      <c r="D1714" s="64">
        <v>13295</v>
      </c>
      <c r="E1714" s="195" t="s">
        <v>373</v>
      </c>
      <c r="F1714" s="71" t="s">
        <v>367</v>
      </c>
      <c r="G1714" s="71" t="s">
        <v>2179</v>
      </c>
      <c r="H1714" s="71" t="s">
        <v>2123</v>
      </c>
      <c r="I1714" s="71" t="s">
        <v>1663</v>
      </c>
    </row>
    <row r="1715" spans="1:9" ht="29" x14ac:dyDescent="0.35">
      <c r="A1715" s="195">
        <v>12</v>
      </c>
      <c r="B1715" s="195">
        <v>80</v>
      </c>
      <c r="C1715" s="195" t="s">
        <v>2193</v>
      </c>
      <c r="D1715" s="64">
        <v>1780</v>
      </c>
      <c r="E1715" s="195" t="s">
        <v>373</v>
      </c>
      <c r="F1715" s="71" t="s">
        <v>367</v>
      </c>
      <c r="G1715" s="71" t="s">
        <v>2179</v>
      </c>
      <c r="H1715" s="71" t="s">
        <v>2123</v>
      </c>
      <c r="I1715" s="71" t="s">
        <v>1667</v>
      </c>
    </row>
    <row r="1716" spans="1:9" ht="29" x14ac:dyDescent="0.35">
      <c r="A1716" s="195">
        <v>12</v>
      </c>
      <c r="B1716" s="195">
        <v>81</v>
      </c>
      <c r="C1716" s="195" t="s">
        <v>2194</v>
      </c>
      <c r="D1716" s="195">
        <v>0</v>
      </c>
      <c r="E1716" s="195" t="s">
        <v>373</v>
      </c>
      <c r="F1716" s="71" t="s">
        <v>367</v>
      </c>
      <c r="G1716" s="71" t="s">
        <v>2179</v>
      </c>
      <c r="H1716" s="71" t="s">
        <v>2123</v>
      </c>
      <c r="I1716" s="71" t="s">
        <v>1671</v>
      </c>
    </row>
    <row r="1717" spans="1:9" ht="29" x14ac:dyDescent="0.35">
      <c r="A1717" s="195">
        <v>12</v>
      </c>
      <c r="B1717" s="195">
        <v>82</v>
      </c>
      <c r="C1717" s="195" t="s">
        <v>2195</v>
      </c>
      <c r="D1717" s="64">
        <v>114570</v>
      </c>
      <c r="E1717" s="195" t="s">
        <v>366</v>
      </c>
      <c r="F1717" s="71" t="s">
        <v>367</v>
      </c>
      <c r="G1717" s="71" t="s">
        <v>2179</v>
      </c>
      <c r="H1717" s="71" t="s">
        <v>2129</v>
      </c>
      <c r="I1717" s="71" t="s">
        <v>1374</v>
      </c>
    </row>
    <row r="1718" spans="1:9" ht="29" x14ac:dyDescent="0.35">
      <c r="A1718" s="195">
        <v>12</v>
      </c>
      <c r="B1718" s="195">
        <v>83</v>
      </c>
      <c r="C1718" s="195" t="s">
        <v>2196</v>
      </c>
      <c r="D1718" s="64">
        <v>108300</v>
      </c>
      <c r="E1718" s="195" t="s">
        <v>373</v>
      </c>
      <c r="F1718" s="71" t="s">
        <v>367</v>
      </c>
      <c r="G1718" s="71" t="s">
        <v>2179</v>
      </c>
      <c r="H1718" s="71" t="s">
        <v>2129</v>
      </c>
      <c r="I1718" s="71" t="s">
        <v>1657</v>
      </c>
    </row>
    <row r="1719" spans="1:9" ht="29" x14ac:dyDescent="0.35">
      <c r="A1719" s="195">
        <v>12</v>
      </c>
      <c r="B1719" s="195">
        <v>84</v>
      </c>
      <c r="C1719" s="195" t="s">
        <v>2197</v>
      </c>
      <c r="D1719" s="64">
        <v>5540</v>
      </c>
      <c r="E1719" s="195" t="s">
        <v>373</v>
      </c>
      <c r="F1719" s="71" t="s">
        <v>367</v>
      </c>
      <c r="G1719" s="71" t="s">
        <v>2179</v>
      </c>
      <c r="H1719" s="71" t="s">
        <v>2129</v>
      </c>
      <c r="I1719" s="71" t="s">
        <v>1663</v>
      </c>
    </row>
    <row r="1720" spans="1:9" ht="29" x14ac:dyDescent="0.35">
      <c r="A1720" s="195">
        <v>12</v>
      </c>
      <c r="B1720" s="195">
        <v>85</v>
      </c>
      <c r="C1720" s="195" t="s">
        <v>2198</v>
      </c>
      <c r="D1720" s="195">
        <v>725</v>
      </c>
      <c r="E1720" s="195" t="s">
        <v>373</v>
      </c>
      <c r="F1720" s="71" t="s">
        <v>367</v>
      </c>
      <c r="G1720" s="71" t="s">
        <v>2179</v>
      </c>
      <c r="H1720" s="71" t="s">
        <v>2129</v>
      </c>
      <c r="I1720" s="71" t="s">
        <v>1667</v>
      </c>
    </row>
    <row r="1721" spans="1:9" ht="29" x14ac:dyDescent="0.35">
      <c r="A1721" s="195">
        <v>12</v>
      </c>
      <c r="B1721" s="195">
        <v>86</v>
      </c>
      <c r="C1721" s="195" t="s">
        <v>2199</v>
      </c>
      <c r="D1721" s="195">
        <v>0</v>
      </c>
      <c r="E1721" s="195" t="s">
        <v>373</v>
      </c>
      <c r="F1721" s="71" t="s">
        <v>367</v>
      </c>
      <c r="G1721" s="71" t="s">
        <v>2179</v>
      </c>
      <c r="H1721" s="71" t="s">
        <v>2129</v>
      </c>
      <c r="I1721" s="71" t="s">
        <v>1671</v>
      </c>
    </row>
    <row r="1722" spans="1:9" ht="29" x14ac:dyDescent="0.35">
      <c r="A1722" s="195">
        <v>12</v>
      </c>
      <c r="B1722" s="195">
        <v>87</v>
      </c>
      <c r="C1722" s="195" t="s">
        <v>2200</v>
      </c>
      <c r="D1722" s="64">
        <v>271240</v>
      </c>
      <c r="E1722" s="195" t="s">
        <v>366</v>
      </c>
      <c r="F1722" s="71" t="s">
        <v>367</v>
      </c>
      <c r="G1722" s="71" t="s">
        <v>2201</v>
      </c>
      <c r="H1722" s="71" t="s">
        <v>363</v>
      </c>
      <c r="I1722" s="71" t="s">
        <v>1374</v>
      </c>
    </row>
    <row r="1723" spans="1:9" ht="29" x14ac:dyDescent="0.35">
      <c r="A1723" s="195">
        <v>12</v>
      </c>
      <c r="B1723" s="195">
        <v>88</v>
      </c>
      <c r="C1723" s="195" t="s">
        <v>2202</v>
      </c>
      <c r="D1723" s="64">
        <v>59725</v>
      </c>
      <c r="E1723" s="195" t="s">
        <v>366</v>
      </c>
      <c r="F1723" s="71" t="s">
        <v>367</v>
      </c>
      <c r="G1723" s="71" t="s">
        <v>2201</v>
      </c>
      <c r="H1723" s="71" t="s">
        <v>2111</v>
      </c>
      <c r="I1723" s="71" t="s">
        <v>1374</v>
      </c>
    </row>
    <row r="1724" spans="1:9" ht="29" x14ac:dyDescent="0.35">
      <c r="A1724" s="195">
        <v>12</v>
      </c>
      <c r="B1724" s="195">
        <v>89</v>
      </c>
      <c r="C1724" s="195" t="s">
        <v>2203</v>
      </c>
      <c r="D1724" s="64">
        <v>12410</v>
      </c>
      <c r="E1724" s="195" t="s">
        <v>373</v>
      </c>
      <c r="F1724" s="71" t="s">
        <v>367</v>
      </c>
      <c r="G1724" s="71" t="s">
        <v>2201</v>
      </c>
      <c r="H1724" s="71" t="s">
        <v>2111</v>
      </c>
      <c r="I1724" s="71" t="s">
        <v>1657</v>
      </c>
    </row>
    <row r="1725" spans="1:9" ht="29" x14ac:dyDescent="0.35">
      <c r="A1725" s="195">
        <v>12</v>
      </c>
      <c r="B1725" s="195">
        <v>90</v>
      </c>
      <c r="C1725" s="195" t="s">
        <v>2204</v>
      </c>
      <c r="D1725" s="64">
        <v>12515</v>
      </c>
      <c r="E1725" s="195" t="s">
        <v>373</v>
      </c>
      <c r="F1725" s="71" t="s">
        <v>367</v>
      </c>
      <c r="G1725" s="71" t="s">
        <v>2201</v>
      </c>
      <c r="H1725" s="71" t="s">
        <v>2111</v>
      </c>
      <c r="I1725" s="71" t="s">
        <v>1663</v>
      </c>
    </row>
    <row r="1726" spans="1:9" ht="29" x14ac:dyDescent="0.35">
      <c r="A1726" s="195">
        <v>12</v>
      </c>
      <c r="B1726" s="195">
        <v>91</v>
      </c>
      <c r="C1726" s="195" t="s">
        <v>2205</v>
      </c>
      <c r="D1726" s="64">
        <v>32145</v>
      </c>
      <c r="E1726" s="195" t="s">
        <v>373</v>
      </c>
      <c r="F1726" s="71" t="s">
        <v>367</v>
      </c>
      <c r="G1726" s="71" t="s">
        <v>2201</v>
      </c>
      <c r="H1726" s="71" t="s">
        <v>2111</v>
      </c>
      <c r="I1726" s="71" t="s">
        <v>1667</v>
      </c>
    </row>
    <row r="1727" spans="1:9" ht="29" x14ac:dyDescent="0.35">
      <c r="A1727" s="195">
        <v>12</v>
      </c>
      <c r="B1727" s="195">
        <v>92</v>
      </c>
      <c r="C1727" s="195" t="s">
        <v>2206</v>
      </c>
      <c r="D1727" s="64">
        <v>2655</v>
      </c>
      <c r="E1727" s="195" t="s">
        <v>373</v>
      </c>
      <c r="F1727" s="71" t="s">
        <v>367</v>
      </c>
      <c r="G1727" s="71" t="s">
        <v>2201</v>
      </c>
      <c r="H1727" s="71" t="s">
        <v>2111</v>
      </c>
      <c r="I1727" s="71" t="s">
        <v>1671</v>
      </c>
    </row>
    <row r="1728" spans="1:9" ht="29" x14ac:dyDescent="0.35">
      <c r="A1728" s="195">
        <v>12</v>
      </c>
      <c r="B1728" s="195">
        <v>93</v>
      </c>
      <c r="C1728" s="195" t="s">
        <v>2207</v>
      </c>
      <c r="D1728" s="64">
        <v>42395</v>
      </c>
      <c r="E1728" s="195" t="s">
        <v>366</v>
      </c>
      <c r="F1728" s="71" t="s">
        <v>367</v>
      </c>
      <c r="G1728" s="71" t="s">
        <v>2201</v>
      </c>
      <c r="H1728" s="71" t="s">
        <v>2117</v>
      </c>
      <c r="I1728" s="71" t="s">
        <v>1374</v>
      </c>
    </row>
    <row r="1729" spans="1:9" ht="29" x14ac:dyDescent="0.35">
      <c r="A1729" s="195">
        <v>12</v>
      </c>
      <c r="B1729" s="195">
        <v>94</v>
      </c>
      <c r="C1729" s="195" t="s">
        <v>2208</v>
      </c>
      <c r="D1729" s="64">
        <v>21415</v>
      </c>
      <c r="E1729" s="195" t="s">
        <v>373</v>
      </c>
      <c r="F1729" s="71" t="s">
        <v>367</v>
      </c>
      <c r="G1729" s="71" t="s">
        <v>2201</v>
      </c>
      <c r="H1729" s="71" t="s">
        <v>2117</v>
      </c>
      <c r="I1729" s="71" t="s">
        <v>1657</v>
      </c>
    </row>
    <row r="1730" spans="1:9" ht="29" x14ac:dyDescent="0.35">
      <c r="A1730" s="195">
        <v>12</v>
      </c>
      <c r="B1730" s="195">
        <v>95</v>
      </c>
      <c r="C1730" s="195" t="s">
        <v>2209</v>
      </c>
      <c r="D1730" s="64">
        <v>13540</v>
      </c>
      <c r="E1730" s="195" t="s">
        <v>373</v>
      </c>
      <c r="F1730" s="71" t="s">
        <v>367</v>
      </c>
      <c r="G1730" s="71" t="s">
        <v>2201</v>
      </c>
      <c r="H1730" s="71" t="s">
        <v>2117</v>
      </c>
      <c r="I1730" s="71" t="s">
        <v>1663</v>
      </c>
    </row>
    <row r="1731" spans="1:9" ht="29" x14ac:dyDescent="0.35">
      <c r="A1731" s="195">
        <v>12</v>
      </c>
      <c r="B1731" s="195">
        <v>96</v>
      </c>
      <c r="C1731" s="195" t="s">
        <v>2210</v>
      </c>
      <c r="D1731" s="64">
        <v>7445</v>
      </c>
      <c r="E1731" s="195" t="s">
        <v>373</v>
      </c>
      <c r="F1731" s="71" t="s">
        <v>367</v>
      </c>
      <c r="G1731" s="71" t="s">
        <v>2201</v>
      </c>
      <c r="H1731" s="71" t="s">
        <v>2117</v>
      </c>
      <c r="I1731" s="71" t="s">
        <v>1667</v>
      </c>
    </row>
    <row r="1732" spans="1:9" ht="29" x14ac:dyDescent="0.35">
      <c r="A1732" s="195">
        <v>12</v>
      </c>
      <c r="B1732" s="195">
        <v>97</v>
      </c>
      <c r="C1732" s="195" t="s">
        <v>2211</v>
      </c>
      <c r="D1732" s="195">
        <v>0</v>
      </c>
      <c r="E1732" s="195" t="s">
        <v>373</v>
      </c>
      <c r="F1732" s="71" t="s">
        <v>367</v>
      </c>
      <c r="G1732" s="71" t="s">
        <v>2201</v>
      </c>
      <c r="H1732" s="71" t="s">
        <v>2117</v>
      </c>
      <c r="I1732" s="71" t="s">
        <v>1671</v>
      </c>
    </row>
    <row r="1733" spans="1:9" ht="29" x14ac:dyDescent="0.35">
      <c r="A1733" s="195">
        <v>12</v>
      </c>
      <c r="B1733" s="195">
        <v>98</v>
      </c>
      <c r="C1733" s="195" t="s">
        <v>2212</v>
      </c>
      <c r="D1733" s="64">
        <v>50685</v>
      </c>
      <c r="E1733" s="195" t="s">
        <v>366</v>
      </c>
      <c r="F1733" s="71" t="s">
        <v>367</v>
      </c>
      <c r="G1733" s="71" t="s">
        <v>2201</v>
      </c>
      <c r="H1733" s="71" t="s">
        <v>2123</v>
      </c>
      <c r="I1733" s="71" t="s">
        <v>1374</v>
      </c>
    </row>
    <row r="1734" spans="1:9" ht="29" x14ac:dyDescent="0.35">
      <c r="A1734" s="195">
        <v>12</v>
      </c>
      <c r="B1734" s="195">
        <v>99</v>
      </c>
      <c r="C1734" s="195" t="s">
        <v>2213</v>
      </c>
      <c r="D1734" s="64">
        <v>35615</v>
      </c>
      <c r="E1734" s="195" t="s">
        <v>373</v>
      </c>
      <c r="F1734" s="71" t="s">
        <v>367</v>
      </c>
      <c r="G1734" s="71" t="s">
        <v>2201</v>
      </c>
      <c r="H1734" s="71" t="s">
        <v>2123</v>
      </c>
      <c r="I1734" s="71" t="s">
        <v>1657</v>
      </c>
    </row>
    <row r="1735" spans="1:9" ht="29" x14ac:dyDescent="0.35">
      <c r="A1735" s="195">
        <v>12</v>
      </c>
      <c r="B1735" s="195">
        <v>100</v>
      </c>
      <c r="C1735" s="195" t="s">
        <v>2214</v>
      </c>
      <c r="D1735" s="64">
        <v>12140</v>
      </c>
      <c r="E1735" s="195" t="s">
        <v>373</v>
      </c>
      <c r="F1735" s="71" t="s">
        <v>367</v>
      </c>
      <c r="G1735" s="71" t="s">
        <v>2201</v>
      </c>
      <c r="H1735" s="71" t="s">
        <v>2123</v>
      </c>
      <c r="I1735" s="71" t="s">
        <v>1663</v>
      </c>
    </row>
    <row r="1736" spans="1:9" ht="29" x14ac:dyDescent="0.35">
      <c r="A1736" s="195">
        <v>12</v>
      </c>
      <c r="B1736" s="195">
        <v>101</v>
      </c>
      <c r="C1736" s="195" t="s">
        <v>2215</v>
      </c>
      <c r="D1736" s="64">
        <v>2935</v>
      </c>
      <c r="E1736" s="195" t="s">
        <v>373</v>
      </c>
      <c r="F1736" s="71" t="s">
        <v>367</v>
      </c>
      <c r="G1736" s="71" t="s">
        <v>2201</v>
      </c>
      <c r="H1736" s="71" t="s">
        <v>2123</v>
      </c>
      <c r="I1736" s="71" t="s">
        <v>1667</v>
      </c>
    </row>
    <row r="1737" spans="1:9" ht="29" x14ac:dyDescent="0.35">
      <c r="A1737" s="195">
        <v>12</v>
      </c>
      <c r="B1737" s="195">
        <v>102</v>
      </c>
      <c r="C1737" s="195" t="s">
        <v>2216</v>
      </c>
      <c r="D1737" s="195">
        <v>0</v>
      </c>
      <c r="E1737" s="195" t="s">
        <v>373</v>
      </c>
      <c r="F1737" s="71" t="s">
        <v>367</v>
      </c>
      <c r="G1737" s="71" t="s">
        <v>2201</v>
      </c>
      <c r="H1737" s="71" t="s">
        <v>2123</v>
      </c>
      <c r="I1737" s="71" t="s">
        <v>1671</v>
      </c>
    </row>
    <row r="1738" spans="1:9" ht="29" x14ac:dyDescent="0.35">
      <c r="A1738" s="195">
        <v>12</v>
      </c>
      <c r="B1738" s="195">
        <v>103</v>
      </c>
      <c r="C1738" s="195" t="s">
        <v>2217</v>
      </c>
      <c r="D1738" s="64">
        <v>118435</v>
      </c>
      <c r="E1738" s="195" t="s">
        <v>366</v>
      </c>
      <c r="F1738" s="71" t="s">
        <v>367</v>
      </c>
      <c r="G1738" s="71" t="s">
        <v>2201</v>
      </c>
      <c r="H1738" s="71" t="s">
        <v>2129</v>
      </c>
      <c r="I1738" s="71" t="s">
        <v>1374</v>
      </c>
    </row>
    <row r="1739" spans="1:9" ht="29" x14ac:dyDescent="0.35">
      <c r="A1739" s="195">
        <v>12</v>
      </c>
      <c r="B1739" s="195">
        <v>104</v>
      </c>
      <c r="C1739" s="195" t="s">
        <v>2218</v>
      </c>
      <c r="D1739" s="64">
        <v>109075</v>
      </c>
      <c r="E1739" s="195" t="s">
        <v>373</v>
      </c>
      <c r="F1739" s="71" t="s">
        <v>367</v>
      </c>
      <c r="G1739" s="71" t="s">
        <v>2201</v>
      </c>
      <c r="H1739" s="71" t="s">
        <v>2129</v>
      </c>
      <c r="I1739" s="71" t="s">
        <v>1657</v>
      </c>
    </row>
    <row r="1740" spans="1:9" ht="29" x14ac:dyDescent="0.35">
      <c r="A1740" s="195">
        <v>12</v>
      </c>
      <c r="B1740" s="195">
        <v>105</v>
      </c>
      <c r="C1740" s="195" t="s">
        <v>2219</v>
      </c>
      <c r="D1740" s="64">
        <v>8230</v>
      </c>
      <c r="E1740" s="195" t="s">
        <v>373</v>
      </c>
      <c r="F1740" s="71" t="s">
        <v>367</v>
      </c>
      <c r="G1740" s="71" t="s">
        <v>2201</v>
      </c>
      <c r="H1740" s="71" t="s">
        <v>2129</v>
      </c>
      <c r="I1740" s="71" t="s">
        <v>1663</v>
      </c>
    </row>
    <row r="1741" spans="1:9" ht="29" x14ac:dyDescent="0.35">
      <c r="A1741" s="195">
        <v>12</v>
      </c>
      <c r="B1741" s="195">
        <v>106</v>
      </c>
      <c r="C1741" s="195" t="s">
        <v>2220</v>
      </c>
      <c r="D1741" s="64">
        <v>1130</v>
      </c>
      <c r="E1741" s="195" t="s">
        <v>373</v>
      </c>
      <c r="F1741" s="71" t="s">
        <v>367</v>
      </c>
      <c r="G1741" s="71" t="s">
        <v>2201</v>
      </c>
      <c r="H1741" s="71" t="s">
        <v>2129</v>
      </c>
      <c r="I1741" s="71" t="s">
        <v>1667</v>
      </c>
    </row>
    <row r="1742" spans="1:9" ht="29" x14ac:dyDescent="0.35">
      <c r="A1742" s="195">
        <v>12</v>
      </c>
      <c r="B1742" s="195">
        <v>107</v>
      </c>
      <c r="C1742" s="195" t="s">
        <v>2221</v>
      </c>
      <c r="D1742" s="195">
        <v>0</v>
      </c>
      <c r="E1742" s="195" t="s">
        <v>373</v>
      </c>
      <c r="F1742" s="71" t="s">
        <v>367</v>
      </c>
      <c r="G1742" s="71" t="s">
        <v>2201</v>
      </c>
      <c r="H1742" s="71" t="s">
        <v>2129</v>
      </c>
      <c r="I1742" s="71" t="s">
        <v>1671</v>
      </c>
    </row>
    <row r="1743" spans="1:9" x14ac:dyDescent="0.35">
      <c r="A1743" s="195">
        <v>12</v>
      </c>
      <c r="B1743" s="195">
        <v>108</v>
      </c>
      <c r="C1743" s="195" t="s">
        <v>2222</v>
      </c>
      <c r="D1743" s="64">
        <v>846440</v>
      </c>
      <c r="E1743" s="195" t="s">
        <v>366</v>
      </c>
      <c r="F1743" s="71" t="s">
        <v>508</v>
      </c>
      <c r="G1743" s="71" t="s">
        <v>2106</v>
      </c>
      <c r="H1743" s="71" t="s">
        <v>363</v>
      </c>
      <c r="I1743" s="71" t="s">
        <v>1374</v>
      </c>
    </row>
    <row r="1744" spans="1:9" ht="29" x14ac:dyDescent="0.35">
      <c r="A1744" s="195">
        <v>12</v>
      </c>
      <c r="B1744" s="195">
        <v>109</v>
      </c>
      <c r="C1744" s="195" t="s">
        <v>2223</v>
      </c>
      <c r="D1744" s="64">
        <v>70650</v>
      </c>
      <c r="E1744" s="195" t="s">
        <v>366</v>
      </c>
      <c r="F1744" s="71" t="s">
        <v>508</v>
      </c>
      <c r="G1744" s="71" t="s">
        <v>2109</v>
      </c>
      <c r="H1744" s="71" t="s">
        <v>363</v>
      </c>
      <c r="I1744" s="71" t="s">
        <v>1374</v>
      </c>
    </row>
    <row r="1745" spans="1:9" ht="29" x14ac:dyDescent="0.35">
      <c r="A1745" s="195">
        <v>12</v>
      </c>
      <c r="B1745" s="195">
        <v>110</v>
      </c>
      <c r="C1745" s="195" t="s">
        <v>2224</v>
      </c>
      <c r="D1745" s="64">
        <v>28005</v>
      </c>
      <c r="E1745" s="195" t="s">
        <v>366</v>
      </c>
      <c r="F1745" s="71" t="s">
        <v>508</v>
      </c>
      <c r="G1745" s="71" t="s">
        <v>2109</v>
      </c>
      <c r="H1745" s="71" t="s">
        <v>2111</v>
      </c>
      <c r="I1745" s="71" t="s">
        <v>1374</v>
      </c>
    </row>
    <row r="1746" spans="1:9" ht="29" x14ac:dyDescent="0.35">
      <c r="A1746" s="195">
        <v>12</v>
      </c>
      <c r="B1746" s="195">
        <v>111</v>
      </c>
      <c r="C1746" s="195" t="s">
        <v>2225</v>
      </c>
      <c r="D1746" s="64">
        <v>5400</v>
      </c>
      <c r="E1746" s="195" t="s">
        <v>373</v>
      </c>
      <c r="F1746" s="71" t="s">
        <v>508</v>
      </c>
      <c r="G1746" s="71" t="s">
        <v>2109</v>
      </c>
      <c r="H1746" s="71" t="s">
        <v>2111</v>
      </c>
      <c r="I1746" s="71" t="s">
        <v>1657</v>
      </c>
    </row>
    <row r="1747" spans="1:9" ht="29" x14ac:dyDescent="0.35">
      <c r="A1747" s="195">
        <v>12</v>
      </c>
      <c r="B1747" s="195">
        <v>112</v>
      </c>
      <c r="C1747" s="195" t="s">
        <v>2226</v>
      </c>
      <c r="D1747" s="64">
        <v>5820</v>
      </c>
      <c r="E1747" s="195" t="s">
        <v>373</v>
      </c>
      <c r="F1747" s="71" t="s">
        <v>508</v>
      </c>
      <c r="G1747" s="71" t="s">
        <v>2109</v>
      </c>
      <c r="H1747" s="71" t="s">
        <v>2111</v>
      </c>
      <c r="I1747" s="71" t="s">
        <v>1663</v>
      </c>
    </row>
    <row r="1748" spans="1:9" ht="29" x14ac:dyDescent="0.35">
      <c r="A1748" s="195">
        <v>12</v>
      </c>
      <c r="B1748" s="195">
        <v>113</v>
      </c>
      <c r="C1748" s="195" t="s">
        <v>2227</v>
      </c>
      <c r="D1748" s="64">
        <v>14085</v>
      </c>
      <c r="E1748" s="195" t="s">
        <v>373</v>
      </c>
      <c r="F1748" s="71" t="s">
        <v>508</v>
      </c>
      <c r="G1748" s="71" t="s">
        <v>2109</v>
      </c>
      <c r="H1748" s="71" t="s">
        <v>2111</v>
      </c>
      <c r="I1748" s="71" t="s">
        <v>1667</v>
      </c>
    </row>
    <row r="1749" spans="1:9" ht="29" x14ac:dyDescent="0.35">
      <c r="A1749" s="195">
        <v>12</v>
      </c>
      <c r="B1749" s="195">
        <v>114</v>
      </c>
      <c r="C1749" s="195" t="s">
        <v>2228</v>
      </c>
      <c r="D1749" s="64">
        <v>2695</v>
      </c>
      <c r="E1749" s="195" t="s">
        <v>373</v>
      </c>
      <c r="F1749" s="71" t="s">
        <v>508</v>
      </c>
      <c r="G1749" s="71" t="s">
        <v>2109</v>
      </c>
      <c r="H1749" s="71" t="s">
        <v>2111</v>
      </c>
      <c r="I1749" s="71" t="s">
        <v>1671</v>
      </c>
    </row>
    <row r="1750" spans="1:9" ht="29" x14ac:dyDescent="0.35">
      <c r="A1750" s="195">
        <v>12</v>
      </c>
      <c r="B1750" s="195">
        <v>115</v>
      </c>
      <c r="C1750" s="195" t="s">
        <v>2229</v>
      </c>
      <c r="D1750" s="64">
        <v>7925</v>
      </c>
      <c r="E1750" s="195" t="s">
        <v>366</v>
      </c>
      <c r="F1750" s="71" t="s">
        <v>508</v>
      </c>
      <c r="G1750" s="71" t="s">
        <v>2109</v>
      </c>
      <c r="H1750" s="71" t="s">
        <v>2117</v>
      </c>
      <c r="I1750" s="71" t="s">
        <v>1374</v>
      </c>
    </row>
    <row r="1751" spans="1:9" ht="29" x14ac:dyDescent="0.35">
      <c r="A1751" s="195">
        <v>12</v>
      </c>
      <c r="B1751" s="195">
        <v>116</v>
      </c>
      <c r="C1751" s="195" t="s">
        <v>2230</v>
      </c>
      <c r="D1751" s="64">
        <v>3595</v>
      </c>
      <c r="E1751" s="195" t="s">
        <v>373</v>
      </c>
      <c r="F1751" s="71" t="s">
        <v>508</v>
      </c>
      <c r="G1751" s="71" t="s">
        <v>2109</v>
      </c>
      <c r="H1751" s="71" t="s">
        <v>2117</v>
      </c>
      <c r="I1751" s="71" t="s">
        <v>1657</v>
      </c>
    </row>
    <row r="1752" spans="1:9" ht="29" x14ac:dyDescent="0.35">
      <c r="A1752" s="195">
        <v>12</v>
      </c>
      <c r="B1752" s="195">
        <v>117</v>
      </c>
      <c r="C1752" s="195" t="s">
        <v>2231</v>
      </c>
      <c r="D1752" s="64">
        <v>2940</v>
      </c>
      <c r="E1752" s="195" t="s">
        <v>373</v>
      </c>
      <c r="F1752" s="71" t="s">
        <v>508</v>
      </c>
      <c r="G1752" s="71" t="s">
        <v>2109</v>
      </c>
      <c r="H1752" s="71" t="s">
        <v>2117</v>
      </c>
      <c r="I1752" s="71" t="s">
        <v>1663</v>
      </c>
    </row>
    <row r="1753" spans="1:9" ht="29" x14ac:dyDescent="0.35">
      <c r="A1753" s="195">
        <v>12</v>
      </c>
      <c r="B1753" s="195">
        <v>118</v>
      </c>
      <c r="C1753" s="195" t="s">
        <v>2232</v>
      </c>
      <c r="D1753" s="64">
        <v>1390</v>
      </c>
      <c r="E1753" s="195" t="s">
        <v>373</v>
      </c>
      <c r="F1753" s="71" t="s">
        <v>508</v>
      </c>
      <c r="G1753" s="71" t="s">
        <v>2109</v>
      </c>
      <c r="H1753" s="71" t="s">
        <v>2117</v>
      </c>
      <c r="I1753" s="71" t="s">
        <v>1667</v>
      </c>
    </row>
    <row r="1754" spans="1:9" ht="29" x14ac:dyDescent="0.35">
      <c r="A1754" s="195">
        <v>12</v>
      </c>
      <c r="B1754" s="195">
        <v>119</v>
      </c>
      <c r="C1754" s="195" t="s">
        <v>2233</v>
      </c>
      <c r="D1754" s="195">
        <v>0</v>
      </c>
      <c r="E1754" s="195" t="s">
        <v>373</v>
      </c>
      <c r="F1754" s="71" t="s">
        <v>508</v>
      </c>
      <c r="G1754" s="71" t="s">
        <v>2109</v>
      </c>
      <c r="H1754" s="71" t="s">
        <v>2117</v>
      </c>
      <c r="I1754" s="71" t="s">
        <v>1671</v>
      </c>
    </row>
    <row r="1755" spans="1:9" ht="29" x14ac:dyDescent="0.35">
      <c r="A1755" s="195">
        <v>12</v>
      </c>
      <c r="B1755" s="195">
        <v>120</v>
      </c>
      <c r="C1755" s="195" t="s">
        <v>2234</v>
      </c>
      <c r="D1755" s="64">
        <v>9210</v>
      </c>
      <c r="E1755" s="195" t="s">
        <v>366</v>
      </c>
      <c r="F1755" s="71" t="s">
        <v>508</v>
      </c>
      <c r="G1755" s="71" t="s">
        <v>2109</v>
      </c>
      <c r="H1755" s="71" t="s">
        <v>2123</v>
      </c>
      <c r="I1755" s="71" t="s">
        <v>1374</v>
      </c>
    </row>
    <row r="1756" spans="1:9" ht="29" x14ac:dyDescent="0.35">
      <c r="A1756" s="195">
        <v>12</v>
      </c>
      <c r="B1756" s="195">
        <v>121</v>
      </c>
      <c r="C1756" s="195" t="s">
        <v>2235</v>
      </c>
      <c r="D1756" s="64">
        <v>5480</v>
      </c>
      <c r="E1756" s="195" t="s">
        <v>373</v>
      </c>
      <c r="F1756" s="71" t="s">
        <v>508</v>
      </c>
      <c r="G1756" s="71" t="s">
        <v>2109</v>
      </c>
      <c r="H1756" s="71" t="s">
        <v>2123</v>
      </c>
      <c r="I1756" s="71" t="s">
        <v>1657</v>
      </c>
    </row>
    <row r="1757" spans="1:9" ht="29" x14ac:dyDescent="0.35">
      <c r="A1757" s="195">
        <v>12</v>
      </c>
      <c r="B1757" s="195">
        <v>122</v>
      </c>
      <c r="C1757" s="195" t="s">
        <v>2236</v>
      </c>
      <c r="D1757" s="64">
        <v>3230</v>
      </c>
      <c r="E1757" s="195" t="s">
        <v>373</v>
      </c>
      <c r="F1757" s="71" t="s">
        <v>508</v>
      </c>
      <c r="G1757" s="71" t="s">
        <v>2109</v>
      </c>
      <c r="H1757" s="71" t="s">
        <v>2123</v>
      </c>
      <c r="I1757" s="71" t="s">
        <v>1663</v>
      </c>
    </row>
    <row r="1758" spans="1:9" ht="29" x14ac:dyDescent="0.35">
      <c r="A1758" s="195">
        <v>12</v>
      </c>
      <c r="B1758" s="195">
        <v>123</v>
      </c>
      <c r="C1758" s="195" t="s">
        <v>2237</v>
      </c>
      <c r="D1758" s="195">
        <v>505</v>
      </c>
      <c r="E1758" s="195" t="s">
        <v>373</v>
      </c>
      <c r="F1758" s="71" t="s">
        <v>508</v>
      </c>
      <c r="G1758" s="71" t="s">
        <v>2109</v>
      </c>
      <c r="H1758" s="71" t="s">
        <v>2123</v>
      </c>
      <c r="I1758" s="71" t="s">
        <v>1667</v>
      </c>
    </row>
    <row r="1759" spans="1:9" ht="29" x14ac:dyDescent="0.35">
      <c r="A1759" s="195">
        <v>12</v>
      </c>
      <c r="B1759" s="195">
        <v>124</v>
      </c>
      <c r="C1759" s="195" t="s">
        <v>2238</v>
      </c>
      <c r="D1759" s="195">
        <v>0</v>
      </c>
      <c r="E1759" s="195" t="s">
        <v>373</v>
      </c>
      <c r="F1759" s="71" t="s">
        <v>508</v>
      </c>
      <c r="G1759" s="71" t="s">
        <v>2109</v>
      </c>
      <c r="H1759" s="71" t="s">
        <v>2123</v>
      </c>
      <c r="I1759" s="71" t="s">
        <v>1671</v>
      </c>
    </row>
    <row r="1760" spans="1:9" ht="29" x14ac:dyDescent="0.35">
      <c r="A1760" s="195">
        <v>12</v>
      </c>
      <c r="B1760" s="195">
        <v>125</v>
      </c>
      <c r="C1760" s="195" t="s">
        <v>2239</v>
      </c>
      <c r="D1760" s="64">
        <v>25515</v>
      </c>
      <c r="E1760" s="195" t="s">
        <v>366</v>
      </c>
      <c r="F1760" s="71" t="s">
        <v>508</v>
      </c>
      <c r="G1760" s="71" t="s">
        <v>2109</v>
      </c>
      <c r="H1760" s="71" t="s">
        <v>2129</v>
      </c>
      <c r="I1760" s="71" t="s">
        <v>1374</v>
      </c>
    </row>
    <row r="1761" spans="1:9" ht="29" x14ac:dyDescent="0.35">
      <c r="A1761" s="195">
        <v>12</v>
      </c>
      <c r="B1761" s="195">
        <v>126</v>
      </c>
      <c r="C1761" s="195" t="s">
        <v>2240</v>
      </c>
      <c r="D1761" s="64">
        <v>23315</v>
      </c>
      <c r="E1761" s="195" t="s">
        <v>373</v>
      </c>
      <c r="F1761" s="71" t="s">
        <v>508</v>
      </c>
      <c r="G1761" s="71" t="s">
        <v>2109</v>
      </c>
      <c r="H1761" s="71" t="s">
        <v>2129</v>
      </c>
      <c r="I1761" s="71" t="s">
        <v>1657</v>
      </c>
    </row>
    <row r="1762" spans="1:9" ht="29" x14ac:dyDescent="0.35">
      <c r="A1762" s="195">
        <v>12</v>
      </c>
      <c r="B1762" s="195">
        <v>127</v>
      </c>
      <c r="C1762" s="195" t="s">
        <v>2241</v>
      </c>
      <c r="D1762" s="64">
        <v>2115</v>
      </c>
      <c r="E1762" s="195" t="s">
        <v>373</v>
      </c>
      <c r="F1762" s="71" t="s">
        <v>508</v>
      </c>
      <c r="G1762" s="71" t="s">
        <v>2109</v>
      </c>
      <c r="H1762" s="71" t="s">
        <v>2129</v>
      </c>
      <c r="I1762" s="71" t="s">
        <v>1663</v>
      </c>
    </row>
    <row r="1763" spans="1:9" ht="29" x14ac:dyDescent="0.35">
      <c r="A1763" s="195">
        <v>12</v>
      </c>
      <c r="B1763" s="195">
        <v>128</v>
      </c>
      <c r="C1763" s="195" t="s">
        <v>2242</v>
      </c>
      <c r="D1763" s="195">
        <v>80</v>
      </c>
      <c r="E1763" s="195" t="s">
        <v>373</v>
      </c>
      <c r="F1763" s="71" t="s">
        <v>508</v>
      </c>
      <c r="G1763" s="71" t="s">
        <v>2109</v>
      </c>
      <c r="H1763" s="71" t="s">
        <v>2129</v>
      </c>
      <c r="I1763" s="71" t="s">
        <v>1667</v>
      </c>
    </row>
    <row r="1764" spans="1:9" ht="29" x14ac:dyDescent="0.35">
      <c r="A1764" s="195">
        <v>12</v>
      </c>
      <c r="B1764" s="195">
        <v>129</v>
      </c>
      <c r="C1764" s="195" t="s">
        <v>2243</v>
      </c>
      <c r="D1764" s="195">
        <v>0</v>
      </c>
      <c r="E1764" s="195" t="s">
        <v>373</v>
      </c>
      <c r="F1764" s="71" t="s">
        <v>508</v>
      </c>
      <c r="G1764" s="71" t="s">
        <v>2109</v>
      </c>
      <c r="H1764" s="71" t="s">
        <v>2129</v>
      </c>
      <c r="I1764" s="71" t="s">
        <v>1671</v>
      </c>
    </row>
    <row r="1765" spans="1:9" ht="29" x14ac:dyDescent="0.35">
      <c r="A1765" s="195">
        <v>12</v>
      </c>
      <c r="B1765" s="195">
        <v>130</v>
      </c>
      <c r="C1765" s="195" t="s">
        <v>2244</v>
      </c>
      <c r="D1765" s="64">
        <v>110030</v>
      </c>
      <c r="E1765" s="195" t="s">
        <v>366</v>
      </c>
      <c r="F1765" s="71" t="s">
        <v>508</v>
      </c>
      <c r="G1765" s="71" t="s">
        <v>2135</v>
      </c>
      <c r="H1765" s="71" t="s">
        <v>363</v>
      </c>
      <c r="I1765" s="71" t="s">
        <v>1374</v>
      </c>
    </row>
    <row r="1766" spans="1:9" ht="29" x14ac:dyDescent="0.35">
      <c r="A1766" s="195">
        <v>12</v>
      </c>
      <c r="B1766" s="195">
        <v>131</v>
      </c>
      <c r="C1766" s="195" t="s">
        <v>2245</v>
      </c>
      <c r="D1766" s="64">
        <v>49030</v>
      </c>
      <c r="E1766" s="195" t="s">
        <v>366</v>
      </c>
      <c r="F1766" s="71" t="s">
        <v>508</v>
      </c>
      <c r="G1766" s="71" t="s">
        <v>2135</v>
      </c>
      <c r="H1766" s="71" t="s">
        <v>2111</v>
      </c>
      <c r="I1766" s="71" t="s">
        <v>1374</v>
      </c>
    </row>
    <row r="1767" spans="1:9" ht="29" x14ac:dyDescent="0.35">
      <c r="A1767" s="195">
        <v>12</v>
      </c>
      <c r="B1767" s="195">
        <v>132</v>
      </c>
      <c r="C1767" s="195" t="s">
        <v>2246</v>
      </c>
      <c r="D1767" s="64">
        <v>8670</v>
      </c>
      <c r="E1767" s="195" t="s">
        <v>373</v>
      </c>
      <c r="F1767" s="71" t="s">
        <v>508</v>
      </c>
      <c r="G1767" s="71" t="s">
        <v>2135</v>
      </c>
      <c r="H1767" s="71" t="s">
        <v>2111</v>
      </c>
      <c r="I1767" s="71" t="s">
        <v>1657</v>
      </c>
    </row>
    <row r="1768" spans="1:9" ht="29" x14ac:dyDescent="0.35">
      <c r="A1768" s="195">
        <v>12</v>
      </c>
      <c r="B1768" s="195">
        <v>133</v>
      </c>
      <c r="C1768" s="195" t="s">
        <v>2247</v>
      </c>
      <c r="D1768" s="64">
        <v>13400</v>
      </c>
      <c r="E1768" s="195" t="s">
        <v>373</v>
      </c>
      <c r="F1768" s="71" t="s">
        <v>508</v>
      </c>
      <c r="G1768" s="71" t="s">
        <v>2135</v>
      </c>
      <c r="H1768" s="71" t="s">
        <v>2111</v>
      </c>
      <c r="I1768" s="71" t="s">
        <v>1663</v>
      </c>
    </row>
    <row r="1769" spans="1:9" ht="29" x14ac:dyDescent="0.35">
      <c r="A1769" s="195">
        <v>12</v>
      </c>
      <c r="B1769" s="195">
        <v>134</v>
      </c>
      <c r="C1769" s="195" t="s">
        <v>2248</v>
      </c>
      <c r="D1769" s="64">
        <v>23125</v>
      </c>
      <c r="E1769" s="195" t="s">
        <v>373</v>
      </c>
      <c r="F1769" s="71" t="s">
        <v>508</v>
      </c>
      <c r="G1769" s="71" t="s">
        <v>2135</v>
      </c>
      <c r="H1769" s="71" t="s">
        <v>2111</v>
      </c>
      <c r="I1769" s="71" t="s">
        <v>1667</v>
      </c>
    </row>
    <row r="1770" spans="1:9" ht="29" x14ac:dyDescent="0.35">
      <c r="A1770" s="195">
        <v>12</v>
      </c>
      <c r="B1770" s="195">
        <v>135</v>
      </c>
      <c r="C1770" s="195" t="s">
        <v>2249</v>
      </c>
      <c r="D1770" s="64">
        <v>3835</v>
      </c>
      <c r="E1770" s="195" t="s">
        <v>373</v>
      </c>
      <c r="F1770" s="71" t="s">
        <v>508</v>
      </c>
      <c r="G1770" s="71" t="s">
        <v>2135</v>
      </c>
      <c r="H1770" s="71" t="s">
        <v>2111</v>
      </c>
      <c r="I1770" s="71" t="s">
        <v>1671</v>
      </c>
    </row>
    <row r="1771" spans="1:9" ht="29" x14ac:dyDescent="0.35">
      <c r="A1771" s="195">
        <v>12</v>
      </c>
      <c r="B1771" s="195">
        <v>136</v>
      </c>
      <c r="C1771" s="195" t="s">
        <v>2250</v>
      </c>
      <c r="D1771" s="64">
        <v>18315</v>
      </c>
      <c r="E1771" s="195" t="s">
        <v>366</v>
      </c>
      <c r="F1771" s="71" t="s">
        <v>508</v>
      </c>
      <c r="G1771" s="71" t="s">
        <v>2135</v>
      </c>
      <c r="H1771" s="71" t="s">
        <v>2117</v>
      </c>
      <c r="I1771" s="71" t="s">
        <v>1374</v>
      </c>
    </row>
    <row r="1772" spans="1:9" ht="29" x14ac:dyDescent="0.35">
      <c r="A1772" s="195">
        <v>12</v>
      </c>
      <c r="B1772" s="195">
        <v>137</v>
      </c>
      <c r="C1772" s="195" t="s">
        <v>2251</v>
      </c>
      <c r="D1772" s="64">
        <v>10475</v>
      </c>
      <c r="E1772" s="195" t="s">
        <v>373</v>
      </c>
      <c r="F1772" s="71" t="s">
        <v>508</v>
      </c>
      <c r="G1772" s="71" t="s">
        <v>2135</v>
      </c>
      <c r="H1772" s="71" t="s">
        <v>2117</v>
      </c>
      <c r="I1772" s="71" t="s">
        <v>1657</v>
      </c>
    </row>
    <row r="1773" spans="1:9" ht="29" x14ac:dyDescent="0.35">
      <c r="A1773" s="195">
        <v>12</v>
      </c>
      <c r="B1773" s="195">
        <v>138</v>
      </c>
      <c r="C1773" s="195" t="s">
        <v>2252</v>
      </c>
      <c r="D1773" s="64">
        <v>5835</v>
      </c>
      <c r="E1773" s="195" t="s">
        <v>373</v>
      </c>
      <c r="F1773" s="71" t="s">
        <v>508</v>
      </c>
      <c r="G1773" s="71" t="s">
        <v>2135</v>
      </c>
      <c r="H1773" s="71" t="s">
        <v>2117</v>
      </c>
      <c r="I1773" s="71" t="s">
        <v>1663</v>
      </c>
    </row>
    <row r="1774" spans="1:9" ht="29" x14ac:dyDescent="0.35">
      <c r="A1774" s="195">
        <v>12</v>
      </c>
      <c r="B1774" s="195">
        <v>139</v>
      </c>
      <c r="C1774" s="195" t="s">
        <v>2253</v>
      </c>
      <c r="D1774" s="64">
        <v>2005</v>
      </c>
      <c r="E1774" s="195" t="s">
        <v>373</v>
      </c>
      <c r="F1774" s="71" t="s">
        <v>508</v>
      </c>
      <c r="G1774" s="71" t="s">
        <v>2135</v>
      </c>
      <c r="H1774" s="71" t="s">
        <v>2117</v>
      </c>
      <c r="I1774" s="71" t="s">
        <v>1667</v>
      </c>
    </row>
    <row r="1775" spans="1:9" ht="29" x14ac:dyDescent="0.35">
      <c r="A1775" s="195">
        <v>12</v>
      </c>
      <c r="B1775" s="195">
        <v>140</v>
      </c>
      <c r="C1775" s="195" t="s">
        <v>2254</v>
      </c>
      <c r="D1775" s="195">
        <v>0</v>
      </c>
      <c r="E1775" s="195" t="s">
        <v>373</v>
      </c>
      <c r="F1775" s="71" t="s">
        <v>508</v>
      </c>
      <c r="G1775" s="71" t="s">
        <v>2135</v>
      </c>
      <c r="H1775" s="71" t="s">
        <v>2117</v>
      </c>
      <c r="I1775" s="71" t="s">
        <v>1671</v>
      </c>
    </row>
    <row r="1776" spans="1:9" ht="29" x14ac:dyDescent="0.35">
      <c r="A1776" s="195">
        <v>12</v>
      </c>
      <c r="B1776" s="195">
        <v>141</v>
      </c>
      <c r="C1776" s="195" t="s">
        <v>2255</v>
      </c>
      <c r="D1776" s="64">
        <v>17680</v>
      </c>
      <c r="E1776" s="195" t="s">
        <v>366</v>
      </c>
      <c r="F1776" s="71" t="s">
        <v>508</v>
      </c>
      <c r="G1776" s="71" t="s">
        <v>2135</v>
      </c>
      <c r="H1776" s="71" t="s">
        <v>2123</v>
      </c>
      <c r="I1776" s="71" t="s">
        <v>1374</v>
      </c>
    </row>
    <row r="1777" spans="1:9" ht="29" x14ac:dyDescent="0.35">
      <c r="A1777" s="195">
        <v>12</v>
      </c>
      <c r="B1777" s="195">
        <v>142</v>
      </c>
      <c r="C1777" s="195" t="s">
        <v>2256</v>
      </c>
      <c r="D1777" s="64">
        <v>14050</v>
      </c>
      <c r="E1777" s="195" t="s">
        <v>373</v>
      </c>
      <c r="F1777" s="71" t="s">
        <v>508</v>
      </c>
      <c r="G1777" s="71" t="s">
        <v>2135</v>
      </c>
      <c r="H1777" s="71" t="s">
        <v>2123</v>
      </c>
      <c r="I1777" s="71" t="s">
        <v>1657</v>
      </c>
    </row>
    <row r="1778" spans="1:9" ht="29" x14ac:dyDescent="0.35">
      <c r="A1778" s="195">
        <v>12</v>
      </c>
      <c r="B1778" s="195">
        <v>143</v>
      </c>
      <c r="C1778" s="195" t="s">
        <v>2257</v>
      </c>
      <c r="D1778" s="64">
        <v>3340</v>
      </c>
      <c r="E1778" s="195" t="s">
        <v>373</v>
      </c>
      <c r="F1778" s="71" t="s">
        <v>508</v>
      </c>
      <c r="G1778" s="71" t="s">
        <v>2135</v>
      </c>
      <c r="H1778" s="71" t="s">
        <v>2123</v>
      </c>
      <c r="I1778" s="71" t="s">
        <v>1663</v>
      </c>
    </row>
    <row r="1779" spans="1:9" ht="29" x14ac:dyDescent="0.35">
      <c r="A1779" s="195">
        <v>12</v>
      </c>
      <c r="B1779" s="195">
        <v>144</v>
      </c>
      <c r="C1779" s="195" t="s">
        <v>2258</v>
      </c>
      <c r="D1779" s="195">
        <v>290</v>
      </c>
      <c r="E1779" s="195" t="s">
        <v>373</v>
      </c>
      <c r="F1779" s="71" t="s">
        <v>508</v>
      </c>
      <c r="G1779" s="71" t="s">
        <v>2135</v>
      </c>
      <c r="H1779" s="71" t="s">
        <v>2123</v>
      </c>
      <c r="I1779" s="71" t="s">
        <v>1667</v>
      </c>
    </row>
    <row r="1780" spans="1:9" ht="29" x14ac:dyDescent="0.35">
      <c r="A1780" s="195">
        <v>12</v>
      </c>
      <c r="B1780" s="195">
        <v>145</v>
      </c>
      <c r="C1780" s="195" t="s">
        <v>2259</v>
      </c>
      <c r="D1780" s="195">
        <v>0</v>
      </c>
      <c r="E1780" s="195" t="s">
        <v>373</v>
      </c>
      <c r="F1780" s="71" t="s">
        <v>508</v>
      </c>
      <c r="G1780" s="71" t="s">
        <v>2135</v>
      </c>
      <c r="H1780" s="71" t="s">
        <v>2123</v>
      </c>
      <c r="I1780" s="71" t="s">
        <v>1671</v>
      </c>
    </row>
    <row r="1781" spans="1:9" ht="29" x14ac:dyDescent="0.35">
      <c r="A1781" s="195">
        <v>12</v>
      </c>
      <c r="B1781" s="195">
        <v>146</v>
      </c>
      <c r="C1781" s="195" t="s">
        <v>2260</v>
      </c>
      <c r="D1781" s="64">
        <v>25005</v>
      </c>
      <c r="E1781" s="195" t="s">
        <v>366</v>
      </c>
      <c r="F1781" s="71" t="s">
        <v>508</v>
      </c>
      <c r="G1781" s="71" t="s">
        <v>2135</v>
      </c>
      <c r="H1781" s="71" t="s">
        <v>2129</v>
      </c>
      <c r="I1781" s="71" t="s">
        <v>1374</v>
      </c>
    </row>
    <row r="1782" spans="1:9" ht="29" x14ac:dyDescent="0.35">
      <c r="A1782" s="195">
        <v>12</v>
      </c>
      <c r="B1782" s="195">
        <v>147</v>
      </c>
      <c r="C1782" s="195" t="s">
        <v>2261</v>
      </c>
      <c r="D1782" s="64">
        <v>24065</v>
      </c>
      <c r="E1782" s="195" t="s">
        <v>373</v>
      </c>
      <c r="F1782" s="71" t="s">
        <v>508</v>
      </c>
      <c r="G1782" s="71" t="s">
        <v>2135</v>
      </c>
      <c r="H1782" s="71" t="s">
        <v>2129</v>
      </c>
      <c r="I1782" s="71" t="s">
        <v>1657</v>
      </c>
    </row>
    <row r="1783" spans="1:9" ht="29" x14ac:dyDescent="0.35">
      <c r="A1783" s="195">
        <v>12</v>
      </c>
      <c r="B1783" s="195">
        <v>148</v>
      </c>
      <c r="C1783" s="195" t="s">
        <v>2262</v>
      </c>
      <c r="D1783" s="195">
        <v>860</v>
      </c>
      <c r="E1783" s="195" t="s">
        <v>373</v>
      </c>
      <c r="F1783" s="71" t="s">
        <v>508</v>
      </c>
      <c r="G1783" s="71" t="s">
        <v>2135</v>
      </c>
      <c r="H1783" s="71" t="s">
        <v>2129</v>
      </c>
      <c r="I1783" s="71" t="s">
        <v>1663</v>
      </c>
    </row>
    <row r="1784" spans="1:9" ht="29" x14ac:dyDescent="0.35">
      <c r="A1784" s="195">
        <v>12</v>
      </c>
      <c r="B1784" s="195">
        <v>149</v>
      </c>
      <c r="C1784" s="195" t="s">
        <v>2263</v>
      </c>
      <c r="D1784" s="195">
        <v>80</v>
      </c>
      <c r="E1784" s="195" t="s">
        <v>373</v>
      </c>
      <c r="F1784" s="71" t="s">
        <v>508</v>
      </c>
      <c r="G1784" s="71" t="s">
        <v>2135</v>
      </c>
      <c r="H1784" s="71" t="s">
        <v>2129</v>
      </c>
      <c r="I1784" s="71" t="s">
        <v>1667</v>
      </c>
    </row>
    <row r="1785" spans="1:9" ht="29" x14ac:dyDescent="0.35">
      <c r="A1785" s="195">
        <v>12</v>
      </c>
      <c r="B1785" s="195">
        <v>150</v>
      </c>
      <c r="C1785" s="195" t="s">
        <v>2264</v>
      </c>
      <c r="D1785" s="195">
        <v>0</v>
      </c>
      <c r="E1785" s="195" t="s">
        <v>373</v>
      </c>
      <c r="F1785" s="71" t="s">
        <v>508</v>
      </c>
      <c r="G1785" s="71" t="s">
        <v>2135</v>
      </c>
      <c r="H1785" s="71" t="s">
        <v>2129</v>
      </c>
      <c r="I1785" s="71" t="s">
        <v>1671</v>
      </c>
    </row>
    <row r="1786" spans="1:9" ht="29" x14ac:dyDescent="0.35">
      <c r="A1786" s="195">
        <v>12</v>
      </c>
      <c r="B1786" s="195">
        <v>151</v>
      </c>
      <c r="C1786" s="195" t="s">
        <v>2265</v>
      </c>
      <c r="D1786" s="64">
        <v>213625</v>
      </c>
      <c r="E1786" s="195" t="s">
        <v>366</v>
      </c>
      <c r="F1786" s="71" t="s">
        <v>508</v>
      </c>
      <c r="G1786" s="71" t="s">
        <v>2157</v>
      </c>
      <c r="H1786" s="71" t="s">
        <v>363</v>
      </c>
      <c r="I1786" s="71" t="s">
        <v>1374</v>
      </c>
    </row>
    <row r="1787" spans="1:9" ht="29" x14ac:dyDescent="0.35">
      <c r="A1787" s="195">
        <v>12</v>
      </c>
      <c r="B1787" s="195">
        <v>152</v>
      </c>
      <c r="C1787" s="195" t="s">
        <v>2266</v>
      </c>
      <c r="D1787" s="64">
        <v>102525</v>
      </c>
      <c r="E1787" s="195" t="s">
        <v>366</v>
      </c>
      <c r="F1787" s="71" t="s">
        <v>508</v>
      </c>
      <c r="G1787" s="71" t="s">
        <v>2157</v>
      </c>
      <c r="H1787" s="71" t="s">
        <v>2111</v>
      </c>
      <c r="I1787" s="71" t="s">
        <v>1374</v>
      </c>
    </row>
    <row r="1788" spans="1:9" ht="29" x14ac:dyDescent="0.35">
      <c r="A1788" s="195">
        <v>12</v>
      </c>
      <c r="B1788" s="195">
        <v>153</v>
      </c>
      <c r="C1788" s="195" t="s">
        <v>2267</v>
      </c>
      <c r="D1788" s="64">
        <v>16795</v>
      </c>
      <c r="E1788" s="195" t="s">
        <v>373</v>
      </c>
      <c r="F1788" s="71" t="s">
        <v>508</v>
      </c>
      <c r="G1788" s="71" t="s">
        <v>2157</v>
      </c>
      <c r="H1788" s="71" t="s">
        <v>2111</v>
      </c>
      <c r="I1788" s="71" t="s">
        <v>1657</v>
      </c>
    </row>
    <row r="1789" spans="1:9" ht="29" x14ac:dyDescent="0.35">
      <c r="A1789" s="195">
        <v>12</v>
      </c>
      <c r="B1789" s="195">
        <v>154</v>
      </c>
      <c r="C1789" s="195" t="s">
        <v>2268</v>
      </c>
      <c r="D1789" s="64">
        <v>27780</v>
      </c>
      <c r="E1789" s="195" t="s">
        <v>373</v>
      </c>
      <c r="F1789" s="71" t="s">
        <v>508</v>
      </c>
      <c r="G1789" s="71" t="s">
        <v>2157</v>
      </c>
      <c r="H1789" s="71" t="s">
        <v>2111</v>
      </c>
      <c r="I1789" s="71" t="s">
        <v>1663</v>
      </c>
    </row>
    <row r="1790" spans="1:9" ht="29" x14ac:dyDescent="0.35">
      <c r="A1790" s="195">
        <v>12</v>
      </c>
      <c r="B1790" s="195">
        <v>155</v>
      </c>
      <c r="C1790" s="195" t="s">
        <v>2269</v>
      </c>
      <c r="D1790" s="64">
        <v>50075</v>
      </c>
      <c r="E1790" s="195" t="s">
        <v>373</v>
      </c>
      <c r="F1790" s="71" t="s">
        <v>508</v>
      </c>
      <c r="G1790" s="71" t="s">
        <v>2157</v>
      </c>
      <c r="H1790" s="71" t="s">
        <v>2111</v>
      </c>
      <c r="I1790" s="71" t="s">
        <v>1667</v>
      </c>
    </row>
    <row r="1791" spans="1:9" ht="29" x14ac:dyDescent="0.35">
      <c r="A1791" s="195">
        <v>12</v>
      </c>
      <c r="B1791" s="195">
        <v>156</v>
      </c>
      <c r="C1791" s="195" t="s">
        <v>2270</v>
      </c>
      <c r="D1791" s="64">
        <v>7875</v>
      </c>
      <c r="E1791" s="195" t="s">
        <v>373</v>
      </c>
      <c r="F1791" s="71" t="s">
        <v>508</v>
      </c>
      <c r="G1791" s="71" t="s">
        <v>2157</v>
      </c>
      <c r="H1791" s="71" t="s">
        <v>2111</v>
      </c>
      <c r="I1791" s="71" t="s">
        <v>1671</v>
      </c>
    </row>
    <row r="1792" spans="1:9" ht="29" x14ac:dyDescent="0.35">
      <c r="A1792" s="195">
        <v>12</v>
      </c>
      <c r="B1792" s="195">
        <v>157</v>
      </c>
      <c r="C1792" s="195" t="s">
        <v>2271</v>
      </c>
      <c r="D1792" s="64">
        <v>40930</v>
      </c>
      <c r="E1792" s="195" t="s">
        <v>366</v>
      </c>
      <c r="F1792" s="71" t="s">
        <v>508</v>
      </c>
      <c r="G1792" s="71" t="s">
        <v>2157</v>
      </c>
      <c r="H1792" s="71" t="s">
        <v>2117</v>
      </c>
      <c r="I1792" s="71" t="s">
        <v>1374</v>
      </c>
    </row>
    <row r="1793" spans="1:9" ht="29" x14ac:dyDescent="0.35">
      <c r="A1793" s="195">
        <v>12</v>
      </c>
      <c r="B1793" s="195">
        <v>158</v>
      </c>
      <c r="C1793" s="195" t="s">
        <v>2272</v>
      </c>
      <c r="D1793" s="64">
        <v>26145</v>
      </c>
      <c r="E1793" s="195" t="s">
        <v>373</v>
      </c>
      <c r="F1793" s="71" t="s">
        <v>508</v>
      </c>
      <c r="G1793" s="71" t="s">
        <v>2157</v>
      </c>
      <c r="H1793" s="71" t="s">
        <v>2117</v>
      </c>
      <c r="I1793" s="71" t="s">
        <v>1657</v>
      </c>
    </row>
    <row r="1794" spans="1:9" ht="29" x14ac:dyDescent="0.35">
      <c r="A1794" s="195">
        <v>12</v>
      </c>
      <c r="B1794" s="195">
        <v>159</v>
      </c>
      <c r="C1794" s="195" t="s">
        <v>2273</v>
      </c>
      <c r="D1794" s="64">
        <v>13380</v>
      </c>
      <c r="E1794" s="195" t="s">
        <v>373</v>
      </c>
      <c r="F1794" s="71" t="s">
        <v>508</v>
      </c>
      <c r="G1794" s="71" t="s">
        <v>2157</v>
      </c>
      <c r="H1794" s="71" t="s">
        <v>2117</v>
      </c>
      <c r="I1794" s="71" t="s">
        <v>1663</v>
      </c>
    </row>
    <row r="1795" spans="1:9" ht="29" x14ac:dyDescent="0.35">
      <c r="A1795" s="195">
        <v>12</v>
      </c>
      <c r="B1795" s="195">
        <v>160</v>
      </c>
      <c r="C1795" s="195" t="s">
        <v>2274</v>
      </c>
      <c r="D1795" s="64">
        <v>1410</v>
      </c>
      <c r="E1795" s="195" t="s">
        <v>373</v>
      </c>
      <c r="F1795" s="71" t="s">
        <v>508</v>
      </c>
      <c r="G1795" s="71" t="s">
        <v>2157</v>
      </c>
      <c r="H1795" s="71" t="s">
        <v>2117</v>
      </c>
      <c r="I1795" s="71" t="s">
        <v>1667</v>
      </c>
    </row>
    <row r="1796" spans="1:9" ht="29" x14ac:dyDescent="0.35">
      <c r="A1796" s="195">
        <v>12</v>
      </c>
      <c r="B1796" s="195">
        <v>161</v>
      </c>
      <c r="C1796" s="195" t="s">
        <v>2275</v>
      </c>
      <c r="D1796" s="195">
        <v>0</v>
      </c>
      <c r="E1796" s="195" t="s">
        <v>373</v>
      </c>
      <c r="F1796" s="71" t="s">
        <v>508</v>
      </c>
      <c r="G1796" s="71" t="s">
        <v>2157</v>
      </c>
      <c r="H1796" s="71" t="s">
        <v>2117</v>
      </c>
      <c r="I1796" s="71" t="s">
        <v>1671</v>
      </c>
    </row>
    <row r="1797" spans="1:9" ht="29" x14ac:dyDescent="0.35">
      <c r="A1797" s="195">
        <v>12</v>
      </c>
      <c r="B1797" s="195">
        <v>162</v>
      </c>
      <c r="C1797" s="195" t="s">
        <v>2276</v>
      </c>
      <c r="D1797" s="64">
        <v>34945</v>
      </c>
      <c r="E1797" s="195" t="s">
        <v>366</v>
      </c>
      <c r="F1797" s="71" t="s">
        <v>508</v>
      </c>
      <c r="G1797" s="71" t="s">
        <v>2157</v>
      </c>
      <c r="H1797" s="71" t="s">
        <v>2123</v>
      </c>
      <c r="I1797" s="71" t="s">
        <v>1374</v>
      </c>
    </row>
    <row r="1798" spans="1:9" ht="29" x14ac:dyDescent="0.35">
      <c r="A1798" s="195">
        <v>12</v>
      </c>
      <c r="B1798" s="195">
        <v>163</v>
      </c>
      <c r="C1798" s="195" t="s">
        <v>2277</v>
      </c>
      <c r="D1798" s="64">
        <v>31090</v>
      </c>
      <c r="E1798" s="195" t="s">
        <v>373</v>
      </c>
      <c r="F1798" s="71" t="s">
        <v>508</v>
      </c>
      <c r="G1798" s="71" t="s">
        <v>2157</v>
      </c>
      <c r="H1798" s="71" t="s">
        <v>2123</v>
      </c>
      <c r="I1798" s="71" t="s">
        <v>1657</v>
      </c>
    </row>
    <row r="1799" spans="1:9" ht="29" x14ac:dyDescent="0.35">
      <c r="A1799" s="195">
        <v>12</v>
      </c>
      <c r="B1799" s="195">
        <v>164</v>
      </c>
      <c r="C1799" s="195" t="s">
        <v>2278</v>
      </c>
      <c r="D1799" s="64">
        <v>3660</v>
      </c>
      <c r="E1799" s="195" t="s">
        <v>373</v>
      </c>
      <c r="F1799" s="71" t="s">
        <v>508</v>
      </c>
      <c r="G1799" s="71" t="s">
        <v>2157</v>
      </c>
      <c r="H1799" s="71" t="s">
        <v>2123</v>
      </c>
      <c r="I1799" s="71" t="s">
        <v>1663</v>
      </c>
    </row>
    <row r="1800" spans="1:9" ht="29" x14ac:dyDescent="0.35">
      <c r="A1800" s="195">
        <v>12</v>
      </c>
      <c r="B1800" s="195">
        <v>165</v>
      </c>
      <c r="C1800" s="195" t="s">
        <v>2279</v>
      </c>
      <c r="D1800" s="195">
        <v>200</v>
      </c>
      <c r="E1800" s="195" t="s">
        <v>373</v>
      </c>
      <c r="F1800" s="71" t="s">
        <v>508</v>
      </c>
      <c r="G1800" s="71" t="s">
        <v>2157</v>
      </c>
      <c r="H1800" s="71" t="s">
        <v>2123</v>
      </c>
      <c r="I1800" s="71" t="s">
        <v>1667</v>
      </c>
    </row>
    <row r="1801" spans="1:9" ht="29" x14ac:dyDescent="0.35">
      <c r="A1801" s="195">
        <v>12</v>
      </c>
      <c r="B1801" s="195">
        <v>166</v>
      </c>
      <c r="C1801" s="195" t="s">
        <v>2280</v>
      </c>
      <c r="D1801" s="195">
        <v>0</v>
      </c>
      <c r="E1801" s="195" t="s">
        <v>373</v>
      </c>
      <c r="F1801" s="71" t="s">
        <v>508</v>
      </c>
      <c r="G1801" s="71" t="s">
        <v>2157</v>
      </c>
      <c r="H1801" s="71" t="s">
        <v>2123</v>
      </c>
      <c r="I1801" s="71" t="s">
        <v>1671</v>
      </c>
    </row>
    <row r="1802" spans="1:9" ht="29" x14ac:dyDescent="0.35">
      <c r="A1802" s="195">
        <v>12</v>
      </c>
      <c r="B1802" s="195">
        <v>167</v>
      </c>
      <c r="C1802" s="195" t="s">
        <v>2281</v>
      </c>
      <c r="D1802" s="64">
        <v>35225</v>
      </c>
      <c r="E1802" s="195" t="s">
        <v>366</v>
      </c>
      <c r="F1802" s="71" t="s">
        <v>508</v>
      </c>
      <c r="G1802" s="71" t="s">
        <v>2157</v>
      </c>
      <c r="H1802" s="71" t="s">
        <v>2129</v>
      </c>
      <c r="I1802" s="71" t="s">
        <v>1374</v>
      </c>
    </row>
    <row r="1803" spans="1:9" ht="29" x14ac:dyDescent="0.35">
      <c r="A1803" s="195">
        <v>12</v>
      </c>
      <c r="B1803" s="195">
        <v>168</v>
      </c>
      <c r="C1803" s="195" t="s">
        <v>2282</v>
      </c>
      <c r="D1803" s="64">
        <v>34475</v>
      </c>
      <c r="E1803" s="195" t="s">
        <v>373</v>
      </c>
      <c r="F1803" s="71" t="s">
        <v>508</v>
      </c>
      <c r="G1803" s="71" t="s">
        <v>2157</v>
      </c>
      <c r="H1803" s="71" t="s">
        <v>2129</v>
      </c>
      <c r="I1803" s="71" t="s">
        <v>1657</v>
      </c>
    </row>
    <row r="1804" spans="1:9" ht="29" x14ac:dyDescent="0.35">
      <c r="A1804" s="195">
        <v>12</v>
      </c>
      <c r="B1804" s="195">
        <v>169</v>
      </c>
      <c r="C1804" s="195" t="s">
        <v>2283</v>
      </c>
      <c r="D1804" s="195">
        <v>675</v>
      </c>
      <c r="E1804" s="195" t="s">
        <v>373</v>
      </c>
      <c r="F1804" s="71" t="s">
        <v>508</v>
      </c>
      <c r="G1804" s="71" t="s">
        <v>2157</v>
      </c>
      <c r="H1804" s="71" t="s">
        <v>2129</v>
      </c>
      <c r="I1804" s="71" t="s">
        <v>1663</v>
      </c>
    </row>
    <row r="1805" spans="1:9" ht="29" x14ac:dyDescent="0.35">
      <c r="A1805" s="195">
        <v>12</v>
      </c>
      <c r="B1805" s="195">
        <v>170</v>
      </c>
      <c r="C1805" s="195" t="s">
        <v>2284</v>
      </c>
      <c r="D1805" s="195">
        <v>70</v>
      </c>
      <c r="E1805" s="195" t="s">
        <v>373</v>
      </c>
      <c r="F1805" s="71" t="s">
        <v>508</v>
      </c>
      <c r="G1805" s="71" t="s">
        <v>2157</v>
      </c>
      <c r="H1805" s="71" t="s">
        <v>2129</v>
      </c>
      <c r="I1805" s="71" t="s">
        <v>1667</v>
      </c>
    </row>
    <row r="1806" spans="1:9" ht="29" x14ac:dyDescent="0.35">
      <c r="A1806" s="195">
        <v>12</v>
      </c>
      <c r="B1806" s="195">
        <v>171</v>
      </c>
      <c r="C1806" s="195" t="s">
        <v>2285</v>
      </c>
      <c r="D1806" s="195">
        <v>0</v>
      </c>
      <c r="E1806" s="195" t="s">
        <v>373</v>
      </c>
      <c r="F1806" s="71" t="s">
        <v>508</v>
      </c>
      <c r="G1806" s="71" t="s">
        <v>2157</v>
      </c>
      <c r="H1806" s="71" t="s">
        <v>2129</v>
      </c>
      <c r="I1806" s="71" t="s">
        <v>1671</v>
      </c>
    </row>
    <row r="1807" spans="1:9" ht="29" x14ac:dyDescent="0.35">
      <c r="A1807" s="195">
        <v>12</v>
      </c>
      <c r="B1807" s="195">
        <v>172</v>
      </c>
      <c r="C1807" s="195" t="s">
        <v>2286</v>
      </c>
      <c r="D1807" s="64">
        <v>155575</v>
      </c>
      <c r="E1807" s="195" t="s">
        <v>366</v>
      </c>
      <c r="F1807" s="71" t="s">
        <v>508</v>
      </c>
      <c r="G1807" s="71" t="s">
        <v>2179</v>
      </c>
      <c r="H1807" s="71" t="s">
        <v>363</v>
      </c>
      <c r="I1807" s="71" t="s">
        <v>1374</v>
      </c>
    </row>
    <row r="1808" spans="1:9" ht="29" x14ac:dyDescent="0.35">
      <c r="A1808" s="195">
        <v>12</v>
      </c>
      <c r="B1808" s="195">
        <v>173</v>
      </c>
      <c r="C1808" s="195" t="s">
        <v>2287</v>
      </c>
      <c r="D1808" s="64">
        <v>81595</v>
      </c>
      <c r="E1808" s="195" t="s">
        <v>366</v>
      </c>
      <c r="F1808" s="71" t="s">
        <v>508</v>
      </c>
      <c r="G1808" s="71" t="s">
        <v>2179</v>
      </c>
      <c r="H1808" s="71" t="s">
        <v>2111</v>
      </c>
      <c r="I1808" s="71" t="s">
        <v>1374</v>
      </c>
    </row>
    <row r="1809" spans="1:9" ht="29" x14ac:dyDescent="0.35">
      <c r="A1809" s="195">
        <v>12</v>
      </c>
      <c r="B1809" s="195">
        <v>174</v>
      </c>
      <c r="C1809" s="195" t="s">
        <v>2288</v>
      </c>
      <c r="D1809" s="64">
        <v>12895</v>
      </c>
      <c r="E1809" s="195" t="s">
        <v>373</v>
      </c>
      <c r="F1809" s="71" t="s">
        <v>508</v>
      </c>
      <c r="G1809" s="71" t="s">
        <v>2179</v>
      </c>
      <c r="H1809" s="71" t="s">
        <v>2111</v>
      </c>
      <c r="I1809" s="71" t="s">
        <v>1657</v>
      </c>
    </row>
    <row r="1810" spans="1:9" ht="29" x14ac:dyDescent="0.35">
      <c r="A1810" s="195">
        <v>12</v>
      </c>
      <c r="B1810" s="195">
        <v>175</v>
      </c>
      <c r="C1810" s="195" t="s">
        <v>2289</v>
      </c>
      <c r="D1810" s="64">
        <v>21130</v>
      </c>
      <c r="E1810" s="195" t="s">
        <v>373</v>
      </c>
      <c r="F1810" s="71" t="s">
        <v>508</v>
      </c>
      <c r="G1810" s="71" t="s">
        <v>2179</v>
      </c>
      <c r="H1810" s="71" t="s">
        <v>2111</v>
      </c>
      <c r="I1810" s="71" t="s">
        <v>1663</v>
      </c>
    </row>
    <row r="1811" spans="1:9" ht="29" x14ac:dyDescent="0.35">
      <c r="A1811" s="195">
        <v>12</v>
      </c>
      <c r="B1811" s="195">
        <v>176</v>
      </c>
      <c r="C1811" s="195" t="s">
        <v>2290</v>
      </c>
      <c r="D1811" s="64">
        <v>41520</v>
      </c>
      <c r="E1811" s="195" t="s">
        <v>373</v>
      </c>
      <c r="F1811" s="71" t="s">
        <v>508</v>
      </c>
      <c r="G1811" s="71" t="s">
        <v>2179</v>
      </c>
      <c r="H1811" s="71" t="s">
        <v>2111</v>
      </c>
      <c r="I1811" s="71" t="s">
        <v>1667</v>
      </c>
    </row>
    <row r="1812" spans="1:9" ht="29" x14ac:dyDescent="0.35">
      <c r="A1812" s="195">
        <v>12</v>
      </c>
      <c r="B1812" s="195">
        <v>177</v>
      </c>
      <c r="C1812" s="195" t="s">
        <v>2291</v>
      </c>
      <c r="D1812" s="64">
        <v>6050</v>
      </c>
      <c r="E1812" s="195" t="s">
        <v>373</v>
      </c>
      <c r="F1812" s="71" t="s">
        <v>508</v>
      </c>
      <c r="G1812" s="71" t="s">
        <v>2179</v>
      </c>
      <c r="H1812" s="71" t="s">
        <v>2111</v>
      </c>
      <c r="I1812" s="71" t="s">
        <v>1671</v>
      </c>
    </row>
    <row r="1813" spans="1:9" ht="29" x14ac:dyDescent="0.35">
      <c r="A1813" s="195">
        <v>12</v>
      </c>
      <c r="B1813" s="195">
        <v>178</v>
      </c>
      <c r="C1813" s="195" t="s">
        <v>2292</v>
      </c>
      <c r="D1813" s="64">
        <v>29330</v>
      </c>
      <c r="E1813" s="195" t="s">
        <v>366</v>
      </c>
      <c r="F1813" s="71" t="s">
        <v>508</v>
      </c>
      <c r="G1813" s="71" t="s">
        <v>2179</v>
      </c>
      <c r="H1813" s="71" t="s">
        <v>2117</v>
      </c>
      <c r="I1813" s="71" t="s">
        <v>1374</v>
      </c>
    </row>
    <row r="1814" spans="1:9" ht="29" x14ac:dyDescent="0.35">
      <c r="A1814" s="195">
        <v>12</v>
      </c>
      <c r="B1814" s="195">
        <v>179</v>
      </c>
      <c r="C1814" s="195" t="s">
        <v>2293</v>
      </c>
      <c r="D1814" s="64">
        <v>19340</v>
      </c>
      <c r="E1814" s="195" t="s">
        <v>373</v>
      </c>
      <c r="F1814" s="71" t="s">
        <v>508</v>
      </c>
      <c r="G1814" s="71" t="s">
        <v>2179</v>
      </c>
      <c r="H1814" s="71" t="s">
        <v>2117</v>
      </c>
      <c r="I1814" s="71" t="s">
        <v>1657</v>
      </c>
    </row>
    <row r="1815" spans="1:9" ht="29" x14ac:dyDescent="0.35">
      <c r="A1815" s="195">
        <v>12</v>
      </c>
      <c r="B1815" s="195">
        <v>180</v>
      </c>
      <c r="C1815" s="195" t="s">
        <v>2294</v>
      </c>
      <c r="D1815" s="64">
        <v>8930</v>
      </c>
      <c r="E1815" s="195" t="s">
        <v>373</v>
      </c>
      <c r="F1815" s="71" t="s">
        <v>508</v>
      </c>
      <c r="G1815" s="71" t="s">
        <v>2179</v>
      </c>
      <c r="H1815" s="71" t="s">
        <v>2117</v>
      </c>
      <c r="I1815" s="71" t="s">
        <v>1663</v>
      </c>
    </row>
    <row r="1816" spans="1:9" ht="29" x14ac:dyDescent="0.35">
      <c r="A1816" s="195">
        <v>12</v>
      </c>
      <c r="B1816" s="195">
        <v>181</v>
      </c>
      <c r="C1816" s="195" t="s">
        <v>2295</v>
      </c>
      <c r="D1816" s="64">
        <v>1060</v>
      </c>
      <c r="E1816" s="195" t="s">
        <v>373</v>
      </c>
      <c r="F1816" s="71" t="s">
        <v>508</v>
      </c>
      <c r="G1816" s="71" t="s">
        <v>2179</v>
      </c>
      <c r="H1816" s="71" t="s">
        <v>2117</v>
      </c>
      <c r="I1816" s="71" t="s">
        <v>1667</v>
      </c>
    </row>
    <row r="1817" spans="1:9" ht="29" x14ac:dyDescent="0.35">
      <c r="A1817" s="195">
        <v>12</v>
      </c>
      <c r="B1817" s="195">
        <v>182</v>
      </c>
      <c r="C1817" s="195" t="s">
        <v>2296</v>
      </c>
      <c r="D1817" s="195">
        <v>0</v>
      </c>
      <c r="E1817" s="195" t="s">
        <v>373</v>
      </c>
      <c r="F1817" s="71" t="s">
        <v>508</v>
      </c>
      <c r="G1817" s="71" t="s">
        <v>2179</v>
      </c>
      <c r="H1817" s="71" t="s">
        <v>2117</v>
      </c>
      <c r="I1817" s="71" t="s">
        <v>1671</v>
      </c>
    </row>
    <row r="1818" spans="1:9" ht="29" x14ac:dyDescent="0.35">
      <c r="A1818" s="195">
        <v>12</v>
      </c>
      <c r="B1818" s="195">
        <v>183</v>
      </c>
      <c r="C1818" s="195" t="s">
        <v>2297</v>
      </c>
      <c r="D1818" s="64">
        <v>23015</v>
      </c>
      <c r="E1818" s="195" t="s">
        <v>366</v>
      </c>
      <c r="F1818" s="71" t="s">
        <v>508</v>
      </c>
      <c r="G1818" s="71" t="s">
        <v>2179</v>
      </c>
      <c r="H1818" s="71" t="s">
        <v>2123</v>
      </c>
      <c r="I1818" s="71" t="s">
        <v>1374</v>
      </c>
    </row>
    <row r="1819" spans="1:9" ht="29" x14ac:dyDescent="0.35">
      <c r="A1819" s="195">
        <v>12</v>
      </c>
      <c r="B1819" s="195">
        <v>184</v>
      </c>
      <c r="C1819" s="195" t="s">
        <v>2298</v>
      </c>
      <c r="D1819" s="64">
        <v>20890</v>
      </c>
      <c r="E1819" s="195" t="s">
        <v>373</v>
      </c>
      <c r="F1819" s="71" t="s">
        <v>508</v>
      </c>
      <c r="G1819" s="71" t="s">
        <v>2179</v>
      </c>
      <c r="H1819" s="71" t="s">
        <v>2123</v>
      </c>
      <c r="I1819" s="71" t="s">
        <v>1657</v>
      </c>
    </row>
    <row r="1820" spans="1:9" ht="29" x14ac:dyDescent="0.35">
      <c r="A1820" s="195">
        <v>12</v>
      </c>
      <c r="B1820" s="195">
        <v>185</v>
      </c>
      <c r="C1820" s="195" t="s">
        <v>2299</v>
      </c>
      <c r="D1820" s="64">
        <v>2055</v>
      </c>
      <c r="E1820" s="195" t="s">
        <v>373</v>
      </c>
      <c r="F1820" s="71" t="s">
        <v>508</v>
      </c>
      <c r="G1820" s="71" t="s">
        <v>2179</v>
      </c>
      <c r="H1820" s="71" t="s">
        <v>2123</v>
      </c>
      <c r="I1820" s="71" t="s">
        <v>1663</v>
      </c>
    </row>
    <row r="1821" spans="1:9" ht="29" x14ac:dyDescent="0.35">
      <c r="A1821" s="195">
        <v>12</v>
      </c>
      <c r="B1821" s="195">
        <v>186</v>
      </c>
      <c r="C1821" s="195" t="s">
        <v>2300</v>
      </c>
      <c r="D1821" s="195">
        <v>70</v>
      </c>
      <c r="E1821" s="195" t="s">
        <v>373</v>
      </c>
      <c r="F1821" s="71" t="s">
        <v>508</v>
      </c>
      <c r="G1821" s="71" t="s">
        <v>2179</v>
      </c>
      <c r="H1821" s="71" t="s">
        <v>2123</v>
      </c>
      <c r="I1821" s="71" t="s">
        <v>1667</v>
      </c>
    </row>
    <row r="1822" spans="1:9" ht="29" x14ac:dyDescent="0.35">
      <c r="A1822" s="195">
        <v>12</v>
      </c>
      <c r="B1822" s="195">
        <v>187</v>
      </c>
      <c r="C1822" s="195" t="s">
        <v>2301</v>
      </c>
      <c r="D1822" s="195">
        <v>0</v>
      </c>
      <c r="E1822" s="195" t="s">
        <v>373</v>
      </c>
      <c r="F1822" s="71" t="s">
        <v>508</v>
      </c>
      <c r="G1822" s="71" t="s">
        <v>2179</v>
      </c>
      <c r="H1822" s="71" t="s">
        <v>2123</v>
      </c>
      <c r="I1822" s="71" t="s">
        <v>1671</v>
      </c>
    </row>
    <row r="1823" spans="1:9" ht="29" x14ac:dyDescent="0.35">
      <c r="A1823" s="195">
        <v>12</v>
      </c>
      <c r="B1823" s="195">
        <v>188</v>
      </c>
      <c r="C1823" s="195" t="s">
        <v>2302</v>
      </c>
      <c r="D1823" s="64">
        <v>21640</v>
      </c>
      <c r="E1823" s="195" t="s">
        <v>366</v>
      </c>
      <c r="F1823" s="71" t="s">
        <v>508</v>
      </c>
      <c r="G1823" s="71" t="s">
        <v>2179</v>
      </c>
      <c r="H1823" s="71" t="s">
        <v>2129</v>
      </c>
      <c r="I1823" s="71" t="s">
        <v>1374</v>
      </c>
    </row>
    <row r="1824" spans="1:9" ht="29" x14ac:dyDescent="0.35">
      <c r="A1824" s="195">
        <v>12</v>
      </c>
      <c r="B1824" s="195">
        <v>189</v>
      </c>
      <c r="C1824" s="195" t="s">
        <v>2303</v>
      </c>
      <c r="D1824" s="64">
        <v>21305</v>
      </c>
      <c r="E1824" s="195" t="s">
        <v>373</v>
      </c>
      <c r="F1824" s="71" t="s">
        <v>508</v>
      </c>
      <c r="G1824" s="71" t="s">
        <v>2179</v>
      </c>
      <c r="H1824" s="71" t="s">
        <v>2129</v>
      </c>
      <c r="I1824" s="71" t="s">
        <v>1657</v>
      </c>
    </row>
    <row r="1825" spans="1:9" ht="29" x14ac:dyDescent="0.35">
      <c r="A1825" s="195">
        <v>12</v>
      </c>
      <c r="B1825" s="195">
        <v>190</v>
      </c>
      <c r="C1825" s="195" t="s">
        <v>2304</v>
      </c>
      <c r="D1825" s="195">
        <v>335</v>
      </c>
      <c r="E1825" s="195" t="s">
        <v>373</v>
      </c>
      <c r="F1825" s="71" t="s">
        <v>508</v>
      </c>
      <c r="G1825" s="71" t="s">
        <v>2179</v>
      </c>
      <c r="H1825" s="71" t="s">
        <v>2129</v>
      </c>
      <c r="I1825" s="71" t="s">
        <v>1663</v>
      </c>
    </row>
    <row r="1826" spans="1:9" ht="29" x14ac:dyDescent="0.35">
      <c r="A1826" s="195">
        <v>12</v>
      </c>
      <c r="B1826" s="195">
        <v>191</v>
      </c>
      <c r="C1826" s="195" t="s">
        <v>2305</v>
      </c>
      <c r="D1826" s="195">
        <v>0</v>
      </c>
      <c r="E1826" s="195" t="s">
        <v>373</v>
      </c>
      <c r="F1826" s="71" t="s">
        <v>508</v>
      </c>
      <c r="G1826" s="71" t="s">
        <v>2179</v>
      </c>
      <c r="H1826" s="71" t="s">
        <v>2129</v>
      </c>
      <c r="I1826" s="71" t="s">
        <v>1667</v>
      </c>
    </row>
    <row r="1827" spans="1:9" ht="29" x14ac:dyDescent="0.35">
      <c r="A1827" s="195">
        <v>12</v>
      </c>
      <c r="B1827" s="195">
        <v>192</v>
      </c>
      <c r="C1827" s="195" t="s">
        <v>2306</v>
      </c>
      <c r="D1827" s="195">
        <v>0</v>
      </c>
      <c r="E1827" s="195" t="s">
        <v>373</v>
      </c>
      <c r="F1827" s="71" t="s">
        <v>508</v>
      </c>
      <c r="G1827" s="71" t="s">
        <v>2179</v>
      </c>
      <c r="H1827" s="71" t="s">
        <v>2129</v>
      </c>
      <c r="I1827" s="71" t="s">
        <v>1671</v>
      </c>
    </row>
    <row r="1828" spans="1:9" ht="29" x14ac:dyDescent="0.35">
      <c r="A1828" s="195">
        <v>12</v>
      </c>
      <c r="B1828" s="195">
        <v>193</v>
      </c>
      <c r="C1828" s="195" t="s">
        <v>2307</v>
      </c>
      <c r="D1828" s="64">
        <v>296555</v>
      </c>
      <c r="E1828" s="195" t="s">
        <v>366</v>
      </c>
      <c r="F1828" s="71" t="s">
        <v>508</v>
      </c>
      <c r="G1828" s="71" t="s">
        <v>2201</v>
      </c>
      <c r="H1828" s="71" t="s">
        <v>363</v>
      </c>
      <c r="I1828" s="71" t="s">
        <v>1374</v>
      </c>
    </row>
    <row r="1829" spans="1:9" ht="29" x14ac:dyDescent="0.35">
      <c r="A1829" s="195">
        <v>12</v>
      </c>
      <c r="B1829" s="195">
        <v>194</v>
      </c>
      <c r="C1829" s="195" t="s">
        <v>2308</v>
      </c>
      <c r="D1829" s="64">
        <v>149935</v>
      </c>
      <c r="E1829" s="195" t="s">
        <v>366</v>
      </c>
      <c r="F1829" s="71" t="s">
        <v>508</v>
      </c>
      <c r="G1829" s="71" t="s">
        <v>2201</v>
      </c>
      <c r="H1829" s="71" t="s">
        <v>2111</v>
      </c>
      <c r="I1829" s="71" t="s">
        <v>1374</v>
      </c>
    </row>
    <row r="1830" spans="1:9" ht="29" x14ac:dyDescent="0.35">
      <c r="A1830" s="195">
        <v>12</v>
      </c>
      <c r="B1830" s="195">
        <v>195</v>
      </c>
      <c r="C1830" s="195" t="s">
        <v>2309</v>
      </c>
      <c r="D1830" s="64">
        <v>23020</v>
      </c>
      <c r="E1830" s="195" t="s">
        <v>373</v>
      </c>
      <c r="F1830" s="71" t="s">
        <v>508</v>
      </c>
      <c r="G1830" s="71" t="s">
        <v>2201</v>
      </c>
      <c r="H1830" s="71" t="s">
        <v>2111</v>
      </c>
      <c r="I1830" s="71" t="s">
        <v>1657</v>
      </c>
    </row>
    <row r="1831" spans="1:9" ht="29" x14ac:dyDescent="0.35">
      <c r="A1831" s="195">
        <v>12</v>
      </c>
      <c r="B1831" s="195">
        <v>196</v>
      </c>
      <c r="C1831" s="195" t="s">
        <v>2310</v>
      </c>
      <c r="D1831" s="64">
        <v>41935</v>
      </c>
      <c r="E1831" s="195" t="s">
        <v>373</v>
      </c>
      <c r="F1831" s="71" t="s">
        <v>508</v>
      </c>
      <c r="G1831" s="71" t="s">
        <v>2201</v>
      </c>
      <c r="H1831" s="71" t="s">
        <v>2111</v>
      </c>
      <c r="I1831" s="71" t="s">
        <v>1663</v>
      </c>
    </row>
    <row r="1832" spans="1:9" ht="29" x14ac:dyDescent="0.35">
      <c r="A1832" s="195">
        <v>12</v>
      </c>
      <c r="B1832" s="195">
        <v>197</v>
      </c>
      <c r="C1832" s="195" t="s">
        <v>2311</v>
      </c>
      <c r="D1832" s="64">
        <v>73770</v>
      </c>
      <c r="E1832" s="195" t="s">
        <v>373</v>
      </c>
      <c r="F1832" s="71" t="s">
        <v>508</v>
      </c>
      <c r="G1832" s="71" t="s">
        <v>2201</v>
      </c>
      <c r="H1832" s="71" t="s">
        <v>2111</v>
      </c>
      <c r="I1832" s="71" t="s">
        <v>1667</v>
      </c>
    </row>
    <row r="1833" spans="1:9" ht="29" x14ac:dyDescent="0.35">
      <c r="A1833" s="195">
        <v>12</v>
      </c>
      <c r="B1833" s="195">
        <v>198</v>
      </c>
      <c r="C1833" s="195" t="s">
        <v>2312</v>
      </c>
      <c r="D1833" s="64">
        <v>11215</v>
      </c>
      <c r="E1833" s="195" t="s">
        <v>373</v>
      </c>
      <c r="F1833" s="71" t="s">
        <v>508</v>
      </c>
      <c r="G1833" s="71" t="s">
        <v>2201</v>
      </c>
      <c r="H1833" s="71" t="s">
        <v>2111</v>
      </c>
      <c r="I1833" s="71" t="s">
        <v>1671</v>
      </c>
    </row>
    <row r="1834" spans="1:9" ht="29" x14ac:dyDescent="0.35">
      <c r="A1834" s="195">
        <v>12</v>
      </c>
      <c r="B1834" s="195">
        <v>199</v>
      </c>
      <c r="C1834" s="195" t="s">
        <v>2313</v>
      </c>
      <c r="D1834" s="64">
        <v>56920</v>
      </c>
      <c r="E1834" s="195" t="s">
        <v>366</v>
      </c>
      <c r="F1834" s="71" t="s">
        <v>508</v>
      </c>
      <c r="G1834" s="71" t="s">
        <v>2201</v>
      </c>
      <c r="H1834" s="71" t="s">
        <v>2117</v>
      </c>
      <c r="I1834" s="71" t="s">
        <v>1374</v>
      </c>
    </row>
    <row r="1835" spans="1:9" ht="29" x14ac:dyDescent="0.35">
      <c r="A1835" s="195">
        <v>12</v>
      </c>
      <c r="B1835" s="195">
        <v>200</v>
      </c>
      <c r="C1835" s="195" t="s">
        <v>2314</v>
      </c>
      <c r="D1835" s="64">
        <v>39300</v>
      </c>
      <c r="E1835" s="195" t="s">
        <v>373</v>
      </c>
      <c r="F1835" s="71" t="s">
        <v>508</v>
      </c>
      <c r="G1835" s="71" t="s">
        <v>2201</v>
      </c>
      <c r="H1835" s="71" t="s">
        <v>2117</v>
      </c>
      <c r="I1835" s="71" t="s">
        <v>1657</v>
      </c>
    </row>
    <row r="1836" spans="1:9" ht="29" x14ac:dyDescent="0.35">
      <c r="A1836" s="195">
        <v>12</v>
      </c>
      <c r="B1836" s="195">
        <v>201</v>
      </c>
      <c r="C1836" s="195" t="s">
        <v>2315</v>
      </c>
      <c r="D1836" s="64">
        <v>15775</v>
      </c>
      <c r="E1836" s="195" t="s">
        <v>373</v>
      </c>
      <c r="F1836" s="71" t="s">
        <v>508</v>
      </c>
      <c r="G1836" s="71" t="s">
        <v>2201</v>
      </c>
      <c r="H1836" s="71" t="s">
        <v>2117</v>
      </c>
      <c r="I1836" s="71" t="s">
        <v>1663</v>
      </c>
    </row>
    <row r="1837" spans="1:9" ht="29" x14ac:dyDescent="0.35">
      <c r="A1837" s="195">
        <v>12</v>
      </c>
      <c r="B1837" s="195">
        <v>202</v>
      </c>
      <c r="C1837" s="195" t="s">
        <v>2316</v>
      </c>
      <c r="D1837" s="64">
        <v>1845</v>
      </c>
      <c r="E1837" s="195" t="s">
        <v>373</v>
      </c>
      <c r="F1837" s="71" t="s">
        <v>508</v>
      </c>
      <c r="G1837" s="71" t="s">
        <v>2201</v>
      </c>
      <c r="H1837" s="71" t="s">
        <v>2117</v>
      </c>
      <c r="I1837" s="71" t="s">
        <v>1667</v>
      </c>
    </row>
    <row r="1838" spans="1:9" ht="29" x14ac:dyDescent="0.35">
      <c r="A1838" s="195">
        <v>12</v>
      </c>
      <c r="B1838" s="195">
        <v>203</v>
      </c>
      <c r="C1838" s="195" t="s">
        <v>2317</v>
      </c>
      <c r="D1838" s="195">
        <v>0</v>
      </c>
      <c r="E1838" s="195" t="s">
        <v>373</v>
      </c>
      <c r="F1838" s="71" t="s">
        <v>508</v>
      </c>
      <c r="G1838" s="71" t="s">
        <v>2201</v>
      </c>
      <c r="H1838" s="71" t="s">
        <v>2117</v>
      </c>
      <c r="I1838" s="71" t="s">
        <v>1671</v>
      </c>
    </row>
    <row r="1839" spans="1:9" ht="29" x14ac:dyDescent="0.35">
      <c r="A1839" s="195">
        <v>12</v>
      </c>
      <c r="B1839" s="195">
        <v>204</v>
      </c>
      <c r="C1839" s="195" t="s">
        <v>2318</v>
      </c>
      <c r="D1839" s="64">
        <v>41875</v>
      </c>
      <c r="E1839" s="195" t="s">
        <v>366</v>
      </c>
      <c r="F1839" s="71" t="s">
        <v>508</v>
      </c>
      <c r="G1839" s="71" t="s">
        <v>2201</v>
      </c>
      <c r="H1839" s="71" t="s">
        <v>2123</v>
      </c>
      <c r="I1839" s="71" t="s">
        <v>1374</v>
      </c>
    </row>
    <row r="1840" spans="1:9" ht="29" x14ac:dyDescent="0.35">
      <c r="A1840" s="195">
        <v>12</v>
      </c>
      <c r="B1840" s="195">
        <v>205</v>
      </c>
      <c r="C1840" s="195" t="s">
        <v>2319</v>
      </c>
      <c r="D1840" s="64">
        <v>37530</v>
      </c>
      <c r="E1840" s="195" t="s">
        <v>373</v>
      </c>
      <c r="F1840" s="71" t="s">
        <v>508</v>
      </c>
      <c r="G1840" s="71" t="s">
        <v>2201</v>
      </c>
      <c r="H1840" s="71" t="s">
        <v>2123</v>
      </c>
      <c r="I1840" s="71" t="s">
        <v>1657</v>
      </c>
    </row>
    <row r="1841" spans="1:9" ht="29" x14ac:dyDescent="0.35">
      <c r="A1841" s="195">
        <v>12</v>
      </c>
      <c r="B1841" s="195">
        <v>206</v>
      </c>
      <c r="C1841" s="195" t="s">
        <v>2320</v>
      </c>
      <c r="D1841" s="64">
        <v>4090</v>
      </c>
      <c r="E1841" s="195" t="s">
        <v>373</v>
      </c>
      <c r="F1841" s="71" t="s">
        <v>508</v>
      </c>
      <c r="G1841" s="71" t="s">
        <v>2201</v>
      </c>
      <c r="H1841" s="71" t="s">
        <v>2123</v>
      </c>
      <c r="I1841" s="71" t="s">
        <v>1663</v>
      </c>
    </row>
    <row r="1842" spans="1:9" ht="29" x14ac:dyDescent="0.35">
      <c r="A1842" s="195">
        <v>12</v>
      </c>
      <c r="B1842" s="195">
        <v>207</v>
      </c>
      <c r="C1842" s="195" t="s">
        <v>2321</v>
      </c>
      <c r="D1842" s="195">
        <v>260</v>
      </c>
      <c r="E1842" s="195" t="s">
        <v>373</v>
      </c>
      <c r="F1842" s="71" t="s">
        <v>508</v>
      </c>
      <c r="G1842" s="71" t="s">
        <v>2201</v>
      </c>
      <c r="H1842" s="71" t="s">
        <v>2123</v>
      </c>
      <c r="I1842" s="71" t="s">
        <v>1667</v>
      </c>
    </row>
    <row r="1843" spans="1:9" ht="29" x14ac:dyDescent="0.35">
      <c r="A1843" s="195">
        <v>12</v>
      </c>
      <c r="B1843" s="195">
        <v>208</v>
      </c>
      <c r="C1843" s="195" t="s">
        <v>2322</v>
      </c>
      <c r="D1843" s="195">
        <v>0</v>
      </c>
      <c r="E1843" s="195" t="s">
        <v>373</v>
      </c>
      <c r="F1843" s="71" t="s">
        <v>508</v>
      </c>
      <c r="G1843" s="71" t="s">
        <v>2201</v>
      </c>
      <c r="H1843" s="71" t="s">
        <v>2123</v>
      </c>
      <c r="I1843" s="71" t="s">
        <v>1671</v>
      </c>
    </row>
    <row r="1844" spans="1:9" ht="29" x14ac:dyDescent="0.35">
      <c r="A1844" s="195">
        <v>12</v>
      </c>
      <c r="B1844" s="195">
        <v>209</v>
      </c>
      <c r="C1844" s="195" t="s">
        <v>2323</v>
      </c>
      <c r="D1844" s="64">
        <v>47825</v>
      </c>
      <c r="E1844" s="195" t="s">
        <v>366</v>
      </c>
      <c r="F1844" s="71" t="s">
        <v>508</v>
      </c>
      <c r="G1844" s="71" t="s">
        <v>2201</v>
      </c>
      <c r="H1844" s="71" t="s">
        <v>2129</v>
      </c>
      <c r="I1844" s="71" t="s">
        <v>1374</v>
      </c>
    </row>
    <row r="1845" spans="1:9" ht="29" x14ac:dyDescent="0.35">
      <c r="A1845" s="195">
        <v>12</v>
      </c>
      <c r="B1845" s="195">
        <v>210</v>
      </c>
      <c r="C1845" s="195" t="s">
        <v>2324</v>
      </c>
      <c r="D1845" s="64">
        <v>47100</v>
      </c>
      <c r="E1845" s="195" t="s">
        <v>373</v>
      </c>
      <c r="F1845" s="71" t="s">
        <v>508</v>
      </c>
      <c r="G1845" s="71" t="s">
        <v>2201</v>
      </c>
      <c r="H1845" s="71" t="s">
        <v>2129</v>
      </c>
      <c r="I1845" s="71" t="s">
        <v>1657</v>
      </c>
    </row>
    <row r="1846" spans="1:9" ht="29" x14ac:dyDescent="0.35">
      <c r="A1846" s="195">
        <v>12</v>
      </c>
      <c r="B1846" s="195">
        <v>211</v>
      </c>
      <c r="C1846" s="195" t="s">
        <v>2325</v>
      </c>
      <c r="D1846" s="195">
        <v>715</v>
      </c>
      <c r="E1846" s="195" t="s">
        <v>373</v>
      </c>
      <c r="F1846" s="71" t="s">
        <v>508</v>
      </c>
      <c r="G1846" s="71" t="s">
        <v>2201</v>
      </c>
      <c r="H1846" s="71" t="s">
        <v>2129</v>
      </c>
      <c r="I1846" s="71" t="s">
        <v>1663</v>
      </c>
    </row>
    <row r="1847" spans="1:9" ht="29" x14ac:dyDescent="0.35">
      <c r="A1847" s="195">
        <v>12</v>
      </c>
      <c r="B1847" s="195">
        <v>212</v>
      </c>
      <c r="C1847" s="195" t="s">
        <v>2326</v>
      </c>
      <c r="D1847" s="195">
        <v>10</v>
      </c>
      <c r="E1847" s="195" t="s">
        <v>373</v>
      </c>
      <c r="F1847" s="71" t="s">
        <v>508</v>
      </c>
      <c r="G1847" s="71" t="s">
        <v>2201</v>
      </c>
      <c r="H1847" s="71" t="s">
        <v>2129</v>
      </c>
      <c r="I1847" s="71" t="s">
        <v>1667</v>
      </c>
    </row>
    <row r="1848" spans="1:9" ht="29" x14ac:dyDescent="0.35">
      <c r="A1848" s="195">
        <v>12</v>
      </c>
      <c r="B1848" s="195">
        <v>213</v>
      </c>
      <c r="C1848" s="195" t="s">
        <v>2327</v>
      </c>
      <c r="D1848" s="195">
        <v>0</v>
      </c>
      <c r="E1848" s="195" t="s">
        <v>373</v>
      </c>
      <c r="F1848" s="71" t="s">
        <v>508</v>
      </c>
      <c r="G1848" s="71" t="s">
        <v>2201</v>
      </c>
      <c r="H1848" s="71" t="s">
        <v>2129</v>
      </c>
      <c r="I1848" s="71" t="s">
        <v>1671</v>
      </c>
    </row>
    <row r="1849" spans="1:9" ht="29" x14ac:dyDescent="0.35">
      <c r="A1849" s="195">
        <v>13</v>
      </c>
      <c r="B1849" s="195">
        <v>1</v>
      </c>
      <c r="C1849" s="195" t="s">
        <v>2328</v>
      </c>
      <c r="D1849" s="64">
        <v>1951605</v>
      </c>
      <c r="E1849" s="195" t="s">
        <v>26</v>
      </c>
      <c r="F1849" s="71" t="s">
        <v>361</v>
      </c>
      <c r="G1849" s="71" t="s">
        <v>2329</v>
      </c>
      <c r="H1849" s="71" t="s">
        <v>2330</v>
      </c>
      <c r="I1849" s="71" t="s">
        <v>2331</v>
      </c>
    </row>
    <row r="1850" spans="1:9" x14ac:dyDescent="0.35">
      <c r="A1850" s="195">
        <v>13</v>
      </c>
      <c r="B1850" s="195">
        <v>2</v>
      </c>
      <c r="C1850" s="195" t="s">
        <v>2332</v>
      </c>
      <c r="D1850" s="64">
        <v>1105170</v>
      </c>
      <c r="E1850" s="195" t="s">
        <v>366</v>
      </c>
      <c r="F1850" s="71" t="s">
        <v>367</v>
      </c>
      <c r="G1850" s="71" t="s">
        <v>2329</v>
      </c>
      <c r="H1850" s="71" t="s">
        <v>2330</v>
      </c>
      <c r="I1850" s="71" t="s">
        <v>2331</v>
      </c>
    </row>
    <row r="1851" spans="1:9" ht="29" x14ac:dyDescent="0.35">
      <c r="A1851" s="195">
        <v>13</v>
      </c>
      <c r="B1851" s="195">
        <v>3</v>
      </c>
      <c r="C1851" s="195" t="s">
        <v>2333</v>
      </c>
      <c r="D1851" s="64">
        <v>252255</v>
      </c>
      <c r="E1851" s="195" t="s">
        <v>366</v>
      </c>
      <c r="F1851" s="71" t="s">
        <v>367</v>
      </c>
      <c r="G1851" s="71" t="s">
        <v>2334</v>
      </c>
      <c r="H1851" s="71" t="s">
        <v>2330</v>
      </c>
      <c r="I1851" s="71" t="s">
        <v>2331</v>
      </c>
    </row>
    <row r="1852" spans="1:9" ht="43.5" x14ac:dyDescent="0.35">
      <c r="A1852" s="195">
        <v>13</v>
      </c>
      <c r="B1852" s="195">
        <v>4</v>
      </c>
      <c r="C1852" s="195" t="s">
        <v>2335</v>
      </c>
      <c r="D1852" s="64">
        <v>17090</v>
      </c>
      <c r="E1852" s="195" t="s">
        <v>366</v>
      </c>
      <c r="F1852" s="71" t="s">
        <v>367</v>
      </c>
      <c r="G1852" s="71" t="s">
        <v>2334</v>
      </c>
      <c r="H1852" s="71" t="s">
        <v>2336</v>
      </c>
      <c r="I1852" s="71" t="s">
        <v>2331</v>
      </c>
    </row>
    <row r="1853" spans="1:9" ht="43.5" x14ac:dyDescent="0.35">
      <c r="A1853" s="195">
        <v>13</v>
      </c>
      <c r="B1853" s="195">
        <v>5</v>
      </c>
      <c r="C1853" s="195" t="s">
        <v>2337</v>
      </c>
      <c r="D1853" s="64">
        <v>1520</v>
      </c>
      <c r="E1853" s="195" t="s">
        <v>373</v>
      </c>
      <c r="F1853" s="71" t="s">
        <v>367</v>
      </c>
      <c r="G1853" s="71" t="s">
        <v>2334</v>
      </c>
      <c r="H1853" s="71" t="s">
        <v>2336</v>
      </c>
      <c r="I1853" s="71" t="s">
        <v>2338</v>
      </c>
    </row>
    <row r="1854" spans="1:9" ht="43.5" x14ac:dyDescent="0.35">
      <c r="A1854" s="195">
        <v>13</v>
      </c>
      <c r="B1854" s="195">
        <v>6</v>
      </c>
      <c r="C1854" s="195" t="s">
        <v>2339</v>
      </c>
      <c r="D1854" s="64">
        <v>15570</v>
      </c>
      <c r="E1854" s="195" t="s">
        <v>373</v>
      </c>
      <c r="F1854" s="71" t="s">
        <v>367</v>
      </c>
      <c r="G1854" s="71" t="s">
        <v>2334</v>
      </c>
      <c r="H1854" s="71" t="s">
        <v>2336</v>
      </c>
      <c r="I1854" s="71" t="s">
        <v>2340</v>
      </c>
    </row>
    <row r="1855" spans="1:9" ht="43.5" x14ac:dyDescent="0.35">
      <c r="A1855" s="195">
        <v>13</v>
      </c>
      <c r="B1855" s="195">
        <v>7</v>
      </c>
      <c r="C1855" s="195" t="s">
        <v>2341</v>
      </c>
      <c r="D1855" s="64">
        <v>19125</v>
      </c>
      <c r="E1855" s="195" t="s">
        <v>366</v>
      </c>
      <c r="F1855" s="71" t="s">
        <v>367</v>
      </c>
      <c r="G1855" s="71" t="s">
        <v>2334</v>
      </c>
      <c r="H1855" s="71" t="s">
        <v>2342</v>
      </c>
      <c r="I1855" s="71" t="s">
        <v>2331</v>
      </c>
    </row>
    <row r="1856" spans="1:9" ht="43.5" x14ac:dyDescent="0.35">
      <c r="A1856" s="195">
        <v>13</v>
      </c>
      <c r="B1856" s="195">
        <v>8</v>
      </c>
      <c r="C1856" s="195" t="s">
        <v>2343</v>
      </c>
      <c r="D1856" s="64">
        <v>1785</v>
      </c>
      <c r="E1856" s="195" t="s">
        <v>373</v>
      </c>
      <c r="F1856" s="71" t="s">
        <v>367</v>
      </c>
      <c r="G1856" s="71" t="s">
        <v>2334</v>
      </c>
      <c r="H1856" s="71" t="s">
        <v>2342</v>
      </c>
      <c r="I1856" s="71" t="s">
        <v>2338</v>
      </c>
    </row>
    <row r="1857" spans="1:9" ht="43.5" x14ac:dyDescent="0.35">
      <c r="A1857" s="195">
        <v>13</v>
      </c>
      <c r="B1857" s="195">
        <v>9</v>
      </c>
      <c r="C1857" s="195" t="s">
        <v>2344</v>
      </c>
      <c r="D1857" s="64">
        <v>17335</v>
      </c>
      <c r="E1857" s="195" t="s">
        <v>373</v>
      </c>
      <c r="F1857" s="71" t="s">
        <v>367</v>
      </c>
      <c r="G1857" s="71" t="s">
        <v>2334</v>
      </c>
      <c r="H1857" s="71" t="s">
        <v>2342</v>
      </c>
      <c r="I1857" s="71" t="s">
        <v>2340</v>
      </c>
    </row>
    <row r="1858" spans="1:9" ht="43.5" x14ac:dyDescent="0.35">
      <c r="A1858" s="195">
        <v>13</v>
      </c>
      <c r="B1858" s="195">
        <v>10</v>
      </c>
      <c r="C1858" s="195" t="s">
        <v>2345</v>
      </c>
      <c r="D1858" s="64">
        <v>29675</v>
      </c>
      <c r="E1858" s="195" t="s">
        <v>366</v>
      </c>
      <c r="F1858" s="71" t="s">
        <v>367</v>
      </c>
      <c r="G1858" s="71" t="s">
        <v>2334</v>
      </c>
      <c r="H1858" s="71" t="s">
        <v>2346</v>
      </c>
      <c r="I1858" s="71" t="s">
        <v>2331</v>
      </c>
    </row>
    <row r="1859" spans="1:9" ht="43.5" x14ac:dyDescent="0.35">
      <c r="A1859" s="195">
        <v>13</v>
      </c>
      <c r="B1859" s="195">
        <v>11</v>
      </c>
      <c r="C1859" s="195" t="s">
        <v>2347</v>
      </c>
      <c r="D1859" s="64">
        <v>3395</v>
      </c>
      <c r="E1859" s="195" t="s">
        <v>373</v>
      </c>
      <c r="F1859" s="71" t="s">
        <v>367</v>
      </c>
      <c r="G1859" s="71" t="s">
        <v>2334</v>
      </c>
      <c r="H1859" s="71" t="s">
        <v>2346</v>
      </c>
      <c r="I1859" s="71" t="s">
        <v>2338</v>
      </c>
    </row>
    <row r="1860" spans="1:9" ht="43.5" x14ac:dyDescent="0.35">
      <c r="A1860" s="195">
        <v>13</v>
      </c>
      <c r="B1860" s="195">
        <v>12</v>
      </c>
      <c r="C1860" s="195" t="s">
        <v>2348</v>
      </c>
      <c r="D1860" s="64">
        <v>26280</v>
      </c>
      <c r="E1860" s="195" t="s">
        <v>373</v>
      </c>
      <c r="F1860" s="71" t="s">
        <v>367</v>
      </c>
      <c r="G1860" s="71" t="s">
        <v>2334</v>
      </c>
      <c r="H1860" s="71" t="s">
        <v>2346</v>
      </c>
      <c r="I1860" s="71" t="s">
        <v>2340</v>
      </c>
    </row>
    <row r="1861" spans="1:9" ht="43.5" x14ac:dyDescent="0.35">
      <c r="A1861" s="195">
        <v>13</v>
      </c>
      <c r="B1861" s="195">
        <v>13</v>
      </c>
      <c r="C1861" s="195" t="s">
        <v>2349</v>
      </c>
      <c r="D1861" s="64">
        <v>20465</v>
      </c>
      <c r="E1861" s="195" t="s">
        <v>366</v>
      </c>
      <c r="F1861" s="71" t="s">
        <v>367</v>
      </c>
      <c r="G1861" s="71" t="s">
        <v>2334</v>
      </c>
      <c r="H1861" s="71" t="s">
        <v>2350</v>
      </c>
      <c r="I1861" s="71" t="s">
        <v>2331</v>
      </c>
    </row>
    <row r="1862" spans="1:9" ht="43.5" x14ac:dyDescent="0.35">
      <c r="A1862" s="195">
        <v>13</v>
      </c>
      <c r="B1862" s="195">
        <v>14</v>
      </c>
      <c r="C1862" s="195" t="s">
        <v>2351</v>
      </c>
      <c r="D1862" s="64">
        <v>2810</v>
      </c>
      <c r="E1862" s="195" t="s">
        <v>373</v>
      </c>
      <c r="F1862" s="71" t="s">
        <v>367</v>
      </c>
      <c r="G1862" s="71" t="s">
        <v>2334</v>
      </c>
      <c r="H1862" s="71" t="s">
        <v>2350</v>
      </c>
      <c r="I1862" s="71" t="s">
        <v>2338</v>
      </c>
    </row>
    <row r="1863" spans="1:9" ht="43.5" x14ac:dyDescent="0.35">
      <c r="A1863" s="195">
        <v>13</v>
      </c>
      <c r="B1863" s="195">
        <v>15</v>
      </c>
      <c r="C1863" s="195" t="s">
        <v>2352</v>
      </c>
      <c r="D1863" s="64">
        <v>17655</v>
      </c>
      <c r="E1863" s="195" t="s">
        <v>373</v>
      </c>
      <c r="F1863" s="71" t="s">
        <v>367</v>
      </c>
      <c r="G1863" s="71" t="s">
        <v>2334</v>
      </c>
      <c r="H1863" s="71" t="s">
        <v>2350</v>
      </c>
      <c r="I1863" s="71" t="s">
        <v>2340</v>
      </c>
    </row>
    <row r="1864" spans="1:9" ht="43.5" x14ac:dyDescent="0.35">
      <c r="A1864" s="195">
        <v>13</v>
      </c>
      <c r="B1864" s="195">
        <v>16</v>
      </c>
      <c r="C1864" s="195" t="s">
        <v>2353</v>
      </c>
      <c r="D1864" s="64">
        <v>165905</v>
      </c>
      <c r="E1864" s="195" t="s">
        <v>366</v>
      </c>
      <c r="F1864" s="71" t="s">
        <v>367</v>
      </c>
      <c r="G1864" s="71" t="s">
        <v>2334</v>
      </c>
      <c r="H1864" s="71" t="s">
        <v>2354</v>
      </c>
      <c r="I1864" s="71" t="s">
        <v>2331</v>
      </c>
    </row>
    <row r="1865" spans="1:9" ht="43.5" x14ac:dyDescent="0.35">
      <c r="A1865" s="195">
        <v>13</v>
      </c>
      <c r="B1865" s="195">
        <v>17</v>
      </c>
      <c r="C1865" s="195" t="s">
        <v>2355</v>
      </c>
      <c r="D1865" s="64">
        <v>27810</v>
      </c>
      <c r="E1865" s="195" t="s">
        <v>373</v>
      </c>
      <c r="F1865" s="71" t="s">
        <v>367</v>
      </c>
      <c r="G1865" s="71" t="s">
        <v>2334</v>
      </c>
      <c r="H1865" s="71" t="s">
        <v>2354</v>
      </c>
      <c r="I1865" s="71" t="s">
        <v>2338</v>
      </c>
    </row>
    <row r="1866" spans="1:9" ht="43.5" x14ac:dyDescent="0.35">
      <c r="A1866" s="195">
        <v>13</v>
      </c>
      <c r="B1866" s="195">
        <v>18</v>
      </c>
      <c r="C1866" s="195" t="s">
        <v>2356</v>
      </c>
      <c r="D1866" s="64">
        <v>138095</v>
      </c>
      <c r="E1866" s="195" t="s">
        <v>373</v>
      </c>
      <c r="F1866" s="71" t="s">
        <v>367</v>
      </c>
      <c r="G1866" s="71" t="s">
        <v>2334</v>
      </c>
      <c r="H1866" s="71" t="s">
        <v>2354</v>
      </c>
      <c r="I1866" s="71" t="s">
        <v>2340</v>
      </c>
    </row>
    <row r="1867" spans="1:9" ht="43.5" x14ac:dyDescent="0.35">
      <c r="A1867" s="195">
        <v>13</v>
      </c>
      <c r="B1867" s="195">
        <v>19</v>
      </c>
      <c r="C1867" s="195" t="s">
        <v>2357</v>
      </c>
      <c r="D1867" s="64">
        <v>581670</v>
      </c>
      <c r="E1867" s="195" t="s">
        <v>366</v>
      </c>
      <c r="F1867" s="71" t="s">
        <v>367</v>
      </c>
      <c r="G1867" s="71" t="s">
        <v>2358</v>
      </c>
      <c r="H1867" s="71" t="s">
        <v>2330</v>
      </c>
      <c r="I1867" s="71" t="s">
        <v>2331</v>
      </c>
    </row>
    <row r="1868" spans="1:9" ht="43.5" x14ac:dyDescent="0.35">
      <c r="A1868" s="195">
        <v>13</v>
      </c>
      <c r="B1868" s="195">
        <v>20</v>
      </c>
      <c r="C1868" s="195" t="s">
        <v>2359</v>
      </c>
      <c r="D1868" s="64">
        <v>58005</v>
      </c>
      <c r="E1868" s="195" t="s">
        <v>366</v>
      </c>
      <c r="F1868" s="71" t="s">
        <v>367</v>
      </c>
      <c r="G1868" s="71" t="s">
        <v>2358</v>
      </c>
      <c r="H1868" s="71" t="s">
        <v>2336</v>
      </c>
      <c r="I1868" s="71" t="s">
        <v>2331</v>
      </c>
    </row>
    <row r="1869" spans="1:9" ht="43.5" x14ac:dyDescent="0.35">
      <c r="A1869" s="195">
        <v>13</v>
      </c>
      <c r="B1869" s="195">
        <v>21</v>
      </c>
      <c r="C1869" s="195" t="s">
        <v>2360</v>
      </c>
      <c r="D1869" s="64">
        <v>5225</v>
      </c>
      <c r="E1869" s="195" t="s">
        <v>373</v>
      </c>
      <c r="F1869" s="71" t="s">
        <v>367</v>
      </c>
      <c r="G1869" s="71" t="s">
        <v>2358</v>
      </c>
      <c r="H1869" s="71" t="s">
        <v>2336</v>
      </c>
      <c r="I1869" s="71" t="s">
        <v>2338</v>
      </c>
    </row>
    <row r="1870" spans="1:9" ht="43.5" x14ac:dyDescent="0.35">
      <c r="A1870" s="195">
        <v>13</v>
      </c>
      <c r="B1870" s="195">
        <v>22</v>
      </c>
      <c r="C1870" s="195" t="s">
        <v>2361</v>
      </c>
      <c r="D1870" s="64">
        <v>52780</v>
      </c>
      <c r="E1870" s="195" t="s">
        <v>373</v>
      </c>
      <c r="F1870" s="71" t="s">
        <v>367</v>
      </c>
      <c r="G1870" s="71" t="s">
        <v>2358</v>
      </c>
      <c r="H1870" s="71" t="s">
        <v>2336</v>
      </c>
      <c r="I1870" s="71" t="s">
        <v>2340</v>
      </c>
    </row>
    <row r="1871" spans="1:9" ht="43.5" x14ac:dyDescent="0.35">
      <c r="A1871" s="195">
        <v>13</v>
      </c>
      <c r="B1871" s="195">
        <v>23</v>
      </c>
      <c r="C1871" s="195" t="s">
        <v>2362</v>
      </c>
      <c r="D1871" s="64">
        <v>67770</v>
      </c>
      <c r="E1871" s="195" t="s">
        <v>366</v>
      </c>
      <c r="F1871" s="71" t="s">
        <v>367</v>
      </c>
      <c r="G1871" s="71" t="s">
        <v>2358</v>
      </c>
      <c r="H1871" s="71" t="s">
        <v>2342</v>
      </c>
      <c r="I1871" s="71" t="s">
        <v>2331</v>
      </c>
    </row>
    <row r="1872" spans="1:9" ht="43.5" x14ac:dyDescent="0.35">
      <c r="A1872" s="195">
        <v>13</v>
      </c>
      <c r="B1872" s="195">
        <v>24</v>
      </c>
      <c r="C1872" s="195" t="s">
        <v>2363</v>
      </c>
      <c r="D1872" s="64">
        <v>8920</v>
      </c>
      <c r="E1872" s="195" t="s">
        <v>373</v>
      </c>
      <c r="F1872" s="71" t="s">
        <v>367</v>
      </c>
      <c r="G1872" s="71" t="s">
        <v>2358</v>
      </c>
      <c r="H1872" s="71" t="s">
        <v>2342</v>
      </c>
      <c r="I1872" s="71" t="s">
        <v>2338</v>
      </c>
    </row>
    <row r="1873" spans="1:9" ht="43.5" x14ac:dyDescent="0.35">
      <c r="A1873" s="195">
        <v>13</v>
      </c>
      <c r="B1873" s="195">
        <v>25</v>
      </c>
      <c r="C1873" s="195" t="s">
        <v>2364</v>
      </c>
      <c r="D1873" s="64">
        <v>58850</v>
      </c>
      <c r="E1873" s="195" t="s">
        <v>373</v>
      </c>
      <c r="F1873" s="71" t="s">
        <v>367</v>
      </c>
      <c r="G1873" s="71" t="s">
        <v>2358</v>
      </c>
      <c r="H1873" s="71" t="s">
        <v>2342</v>
      </c>
      <c r="I1873" s="71" t="s">
        <v>2340</v>
      </c>
    </row>
    <row r="1874" spans="1:9" ht="43.5" x14ac:dyDescent="0.35">
      <c r="A1874" s="195">
        <v>13</v>
      </c>
      <c r="B1874" s="195">
        <v>26</v>
      </c>
      <c r="C1874" s="195" t="s">
        <v>2365</v>
      </c>
      <c r="D1874" s="64">
        <v>102050</v>
      </c>
      <c r="E1874" s="195" t="s">
        <v>366</v>
      </c>
      <c r="F1874" s="71" t="s">
        <v>367</v>
      </c>
      <c r="G1874" s="71" t="s">
        <v>2358</v>
      </c>
      <c r="H1874" s="71" t="s">
        <v>2346</v>
      </c>
      <c r="I1874" s="71" t="s">
        <v>2331</v>
      </c>
    </row>
    <row r="1875" spans="1:9" ht="43.5" x14ac:dyDescent="0.35">
      <c r="A1875" s="195">
        <v>13</v>
      </c>
      <c r="B1875" s="195">
        <v>27</v>
      </c>
      <c r="C1875" s="195" t="s">
        <v>2366</v>
      </c>
      <c r="D1875" s="64">
        <v>13330</v>
      </c>
      <c r="E1875" s="195" t="s">
        <v>373</v>
      </c>
      <c r="F1875" s="71" t="s">
        <v>367</v>
      </c>
      <c r="G1875" s="71" t="s">
        <v>2358</v>
      </c>
      <c r="H1875" s="71" t="s">
        <v>2346</v>
      </c>
      <c r="I1875" s="71" t="s">
        <v>2338</v>
      </c>
    </row>
    <row r="1876" spans="1:9" ht="43.5" x14ac:dyDescent="0.35">
      <c r="A1876" s="195">
        <v>13</v>
      </c>
      <c r="B1876" s="195">
        <v>28</v>
      </c>
      <c r="C1876" s="195" t="s">
        <v>2367</v>
      </c>
      <c r="D1876" s="64">
        <v>88715</v>
      </c>
      <c r="E1876" s="195" t="s">
        <v>373</v>
      </c>
      <c r="F1876" s="71" t="s">
        <v>367</v>
      </c>
      <c r="G1876" s="71" t="s">
        <v>2358</v>
      </c>
      <c r="H1876" s="71" t="s">
        <v>2346</v>
      </c>
      <c r="I1876" s="71" t="s">
        <v>2340</v>
      </c>
    </row>
    <row r="1877" spans="1:9" ht="43.5" x14ac:dyDescent="0.35">
      <c r="A1877" s="195">
        <v>13</v>
      </c>
      <c r="B1877" s="195">
        <v>29</v>
      </c>
      <c r="C1877" s="195" t="s">
        <v>2368</v>
      </c>
      <c r="D1877" s="64">
        <v>66260</v>
      </c>
      <c r="E1877" s="195" t="s">
        <v>366</v>
      </c>
      <c r="F1877" s="71" t="s">
        <v>367</v>
      </c>
      <c r="G1877" s="71" t="s">
        <v>2358</v>
      </c>
      <c r="H1877" s="71" t="s">
        <v>2350</v>
      </c>
      <c r="I1877" s="71" t="s">
        <v>2331</v>
      </c>
    </row>
    <row r="1878" spans="1:9" ht="43.5" x14ac:dyDescent="0.35">
      <c r="A1878" s="195">
        <v>13</v>
      </c>
      <c r="B1878" s="195">
        <v>30</v>
      </c>
      <c r="C1878" s="195" t="s">
        <v>2369</v>
      </c>
      <c r="D1878" s="64">
        <v>9235</v>
      </c>
      <c r="E1878" s="195" t="s">
        <v>373</v>
      </c>
      <c r="F1878" s="71" t="s">
        <v>367</v>
      </c>
      <c r="G1878" s="71" t="s">
        <v>2358</v>
      </c>
      <c r="H1878" s="71" t="s">
        <v>2350</v>
      </c>
      <c r="I1878" s="71" t="s">
        <v>2338</v>
      </c>
    </row>
    <row r="1879" spans="1:9" ht="43.5" x14ac:dyDescent="0.35">
      <c r="A1879" s="195">
        <v>13</v>
      </c>
      <c r="B1879" s="195">
        <v>31</v>
      </c>
      <c r="C1879" s="195" t="s">
        <v>2370</v>
      </c>
      <c r="D1879" s="64">
        <v>57025</v>
      </c>
      <c r="E1879" s="195" t="s">
        <v>373</v>
      </c>
      <c r="F1879" s="71" t="s">
        <v>367</v>
      </c>
      <c r="G1879" s="71" t="s">
        <v>2358</v>
      </c>
      <c r="H1879" s="71" t="s">
        <v>2350</v>
      </c>
      <c r="I1879" s="71" t="s">
        <v>2340</v>
      </c>
    </row>
    <row r="1880" spans="1:9" ht="43.5" x14ac:dyDescent="0.35">
      <c r="A1880" s="195">
        <v>13</v>
      </c>
      <c r="B1880" s="195">
        <v>32</v>
      </c>
      <c r="C1880" s="195" t="s">
        <v>2371</v>
      </c>
      <c r="D1880" s="64">
        <v>287590</v>
      </c>
      <c r="E1880" s="195" t="s">
        <v>366</v>
      </c>
      <c r="F1880" s="71" t="s">
        <v>367</v>
      </c>
      <c r="G1880" s="71" t="s">
        <v>2358</v>
      </c>
      <c r="H1880" s="71" t="s">
        <v>2354</v>
      </c>
      <c r="I1880" s="71" t="s">
        <v>2331</v>
      </c>
    </row>
    <row r="1881" spans="1:9" ht="43.5" x14ac:dyDescent="0.35">
      <c r="A1881" s="195">
        <v>13</v>
      </c>
      <c r="B1881" s="195">
        <v>33</v>
      </c>
      <c r="C1881" s="195" t="s">
        <v>2372</v>
      </c>
      <c r="D1881" s="64">
        <v>39315</v>
      </c>
      <c r="E1881" s="195" t="s">
        <v>373</v>
      </c>
      <c r="F1881" s="71" t="s">
        <v>367</v>
      </c>
      <c r="G1881" s="71" t="s">
        <v>2358</v>
      </c>
      <c r="H1881" s="71" t="s">
        <v>2354</v>
      </c>
      <c r="I1881" s="71" t="s">
        <v>2338</v>
      </c>
    </row>
    <row r="1882" spans="1:9" ht="43.5" x14ac:dyDescent="0.35">
      <c r="A1882" s="195">
        <v>13</v>
      </c>
      <c r="B1882" s="195">
        <v>34</v>
      </c>
      <c r="C1882" s="195" t="s">
        <v>2373</v>
      </c>
      <c r="D1882" s="64">
        <v>248280</v>
      </c>
      <c r="E1882" s="195" t="s">
        <v>373</v>
      </c>
      <c r="F1882" s="71" t="s">
        <v>367</v>
      </c>
      <c r="G1882" s="71" t="s">
        <v>2358</v>
      </c>
      <c r="H1882" s="71" t="s">
        <v>2354</v>
      </c>
      <c r="I1882" s="71" t="s">
        <v>2340</v>
      </c>
    </row>
    <row r="1883" spans="1:9" ht="29" x14ac:dyDescent="0.35">
      <c r="A1883" s="195">
        <v>13</v>
      </c>
      <c r="B1883" s="195">
        <v>35</v>
      </c>
      <c r="C1883" s="195" t="s">
        <v>2374</v>
      </c>
      <c r="D1883" s="64">
        <v>271240</v>
      </c>
      <c r="E1883" s="195" t="s">
        <v>366</v>
      </c>
      <c r="F1883" s="71" t="s">
        <v>367</v>
      </c>
      <c r="G1883" s="71" t="s">
        <v>2375</v>
      </c>
      <c r="H1883" s="71" t="s">
        <v>2330</v>
      </c>
      <c r="I1883" s="71" t="s">
        <v>2331</v>
      </c>
    </row>
    <row r="1884" spans="1:9" ht="43.5" x14ac:dyDescent="0.35">
      <c r="A1884" s="195">
        <v>13</v>
      </c>
      <c r="B1884" s="195">
        <v>36</v>
      </c>
      <c r="C1884" s="195" t="s">
        <v>2376</v>
      </c>
      <c r="D1884" s="64">
        <v>28590</v>
      </c>
      <c r="E1884" s="195" t="s">
        <v>366</v>
      </c>
      <c r="F1884" s="71" t="s">
        <v>367</v>
      </c>
      <c r="G1884" s="71" t="s">
        <v>2375</v>
      </c>
      <c r="H1884" s="71" t="s">
        <v>2336</v>
      </c>
      <c r="I1884" s="71" t="s">
        <v>2331</v>
      </c>
    </row>
    <row r="1885" spans="1:9" ht="43.5" x14ac:dyDescent="0.35">
      <c r="A1885" s="195">
        <v>13</v>
      </c>
      <c r="B1885" s="195">
        <v>37</v>
      </c>
      <c r="C1885" s="195" t="s">
        <v>2377</v>
      </c>
      <c r="D1885" s="64">
        <v>2960</v>
      </c>
      <c r="E1885" s="195" t="s">
        <v>373</v>
      </c>
      <c r="F1885" s="71" t="s">
        <v>367</v>
      </c>
      <c r="G1885" s="71" t="s">
        <v>2375</v>
      </c>
      <c r="H1885" s="71" t="s">
        <v>2336</v>
      </c>
      <c r="I1885" s="71" t="s">
        <v>2338</v>
      </c>
    </row>
    <row r="1886" spans="1:9" ht="43.5" x14ac:dyDescent="0.35">
      <c r="A1886" s="195">
        <v>13</v>
      </c>
      <c r="B1886" s="195">
        <v>38</v>
      </c>
      <c r="C1886" s="195" t="s">
        <v>2378</v>
      </c>
      <c r="D1886" s="64">
        <v>25630</v>
      </c>
      <c r="E1886" s="195" t="s">
        <v>373</v>
      </c>
      <c r="F1886" s="71" t="s">
        <v>367</v>
      </c>
      <c r="G1886" s="71" t="s">
        <v>2375</v>
      </c>
      <c r="H1886" s="71" t="s">
        <v>2336</v>
      </c>
      <c r="I1886" s="71" t="s">
        <v>2340</v>
      </c>
    </row>
    <row r="1887" spans="1:9" ht="43.5" x14ac:dyDescent="0.35">
      <c r="A1887" s="195">
        <v>13</v>
      </c>
      <c r="B1887" s="195">
        <v>39</v>
      </c>
      <c r="C1887" s="195" t="s">
        <v>2379</v>
      </c>
      <c r="D1887" s="64">
        <v>31130</v>
      </c>
      <c r="E1887" s="195" t="s">
        <v>366</v>
      </c>
      <c r="F1887" s="71" t="s">
        <v>367</v>
      </c>
      <c r="G1887" s="71" t="s">
        <v>2375</v>
      </c>
      <c r="H1887" s="71" t="s">
        <v>2342</v>
      </c>
      <c r="I1887" s="71" t="s">
        <v>2331</v>
      </c>
    </row>
    <row r="1888" spans="1:9" ht="43.5" x14ac:dyDescent="0.35">
      <c r="A1888" s="195">
        <v>13</v>
      </c>
      <c r="B1888" s="195">
        <v>40</v>
      </c>
      <c r="C1888" s="195" t="s">
        <v>2380</v>
      </c>
      <c r="D1888" s="64">
        <v>4280</v>
      </c>
      <c r="E1888" s="195" t="s">
        <v>373</v>
      </c>
      <c r="F1888" s="71" t="s">
        <v>367</v>
      </c>
      <c r="G1888" s="71" t="s">
        <v>2375</v>
      </c>
      <c r="H1888" s="71" t="s">
        <v>2342</v>
      </c>
      <c r="I1888" s="71" t="s">
        <v>2338</v>
      </c>
    </row>
    <row r="1889" spans="1:9" ht="43.5" x14ac:dyDescent="0.35">
      <c r="A1889" s="195">
        <v>13</v>
      </c>
      <c r="B1889" s="195">
        <v>41</v>
      </c>
      <c r="C1889" s="195" t="s">
        <v>2381</v>
      </c>
      <c r="D1889" s="64">
        <v>26855</v>
      </c>
      <c r="E1889" s="195" t="s">
        <v>373</v>
      </c>
      <c r="F1889" s="71" t="s">
        <v>367</v>
      </c>
      <c r="G1889" s="71" t="s">
        <v>2375</v>
      </c>
      <c r="H1889" s="71" t="s">
        <v>2342</v>
      </c>
      <c r="I1889" s="71" t="s">
        <v>2340</v>
      </c>
    </row>
    <row r="1890" spans="1:9" ht="43.5" x14ac:dyDescent="0.35">
      <c r="A1890" s="195">
        <v>13</v>
      </c>
      <c r="B1890" s="195">
        <v>42</v>
      </c>
      <c r="C1890" s="195" t="s">
        <v>2382</v>
      </c>
      <c r="D1890" s="64">
        <v>42395</v>
      </c>
      <c r="E1890" s="195" t="s">
        <v>366</v>
      </c>
      <c r="F1890" s="71" t="s">
        <v>367</v>
      </c>
      <c r="G1890" s="71" t="s">
        <v>2375</v>
      </c>
      <c r="H1890" s="71" t="s">
        <v>2346</v>
      </c>
      <c r="I1890" s="71" t="s">
        <v>2331</v>
      </c>
    </row>
    <row r="1891" spans="1:9" ht="43.5" x14ac:dyDescent="0.35">
      <c r="A1891" s="195">
        <v>13</v>
      </c>
      <c r="B1891" s="195">
        <v>43</v>
      </c>
      <c r="C1891" s="195" t="s">
        <v>2383</v>
      </c>
      <c r="D1891" s="64">
        <v>6015</v>
      </c>
      <c r="E1891" s="195" t="s">
        <v>373</v>
      </c>
      <c r="F1891" s="71" t="s">
        <v>367</v>
      </c>
      <c r="G1891" s="71" t="s">
        <v>2375</v>
      </c>
      <c r="H1891" s="71" t="s">
        <v>2346</v>
      </c>
      <c r="I1891" s="71" t="s">
        <v>2338</v>
      </c>
    </row>
    <row r="1892" spans="1:9" ht="43.5" x14ac:dyDescent="0.35">
      <c r="A1892" s="195">
        <v>13</v>
      </c>
      <c r="B1892" s="195">
        <v>44</v>
      </c>
      <c r="C1892" s="195" t="s">
        <v>2384</v>
      </c>
      <c r="D1892" s="64">
        <v>36380</v>
      </c>
      <c r="E1892" s="195" t="s">
        <v>373</v>
      </c>
      <c r="F1892" s="71" t="s">
        <v>367</v>
      </c>
      <c r="G1892" s="71" t="s">
        <v>2375</v>
      </c>
      <c r="H1892" s="71" t="s">
        <v>2346</v>
      </c>
      <c r="I1892" s="71" t="s">
        <v>2340</v>
      </c>
    </row>
    <row r="1893" spans="1:9" ht="43.5" x14ac:dyDescent="0.35">
      <c r="A1893" s="195">
        <v>13</v>
      </c>
      <c r="B1893" s="195">
        <v>45</v>
      </c>
      <c r="C1893" s="195" t="s">
        <v>2385</v>
      </c>
      <c r="D1893" s="64">
        <v>27485</v>
      </c>
      <c r="E1893" s="195" t="s">
        <v>366</v>
      </c>
      <c r="F1893" s="71" t="s">
        <v>367</v>
      </c>
      <c r="G1893" s="71" t="s">
        <v>2375</v>
      </c>
      <c r="H1893" s="71" t="s">
        <v>2350</v>
      </c>
      <c r="I1893" s="71" t="s">
        <v>2331</v>
      </c>
    </row>
    <row r="1894" spans="1:9" ht="43.5" x14ac:dyDescent="0.35">
      <c r="A1894" s="195">
        <v>13</v>
      </c>
      <c r="B1894" s="195">
        <v>46</v>
      </c>
      <c r="C1894" s="195" t="s">
        <v>2386</v>
      </c>
      <c r="D1894" s="64">
        <v>4130</v>
      </c>
      <c r="E1894" s="195" t="s">
        <v>373</v>
      </c>
      <c r="F1894" s="71" t="s">
        <v>367</v>
      </c>
      <c r="G1894" s="71" t="s">
        <v>2375</v>
      </c>
      <c r="H1894" s="71" t="s">
        <v>2350</v>
      </c>
      <c r="I1894" s="71" t="s">
        <v>2338</v>
      </c>
    </row>
    <row r="1895" spans="1:9" ht="43.5" x14ac:dyDescent="0.35">
      <c r="A1895" s="195">
        <v>13</v>
      </c>
      <c r="B1895" s="195">
        <v>47</v>
      </c>
      <c r="C1895" s="195" t="s">
        <v>2387</v>
      </c>
      <c r="D1895" s="64">
        <v>23360</v>
      </c>
      <c r="E1895" s="195" t="s">
        <v>373</v>
      </c>
      <c r="F1895" s="71" t="s">
        <v>367</v>
      </c>
      <c r="G1895" s="71" t="s">
        <v>2375</v>
      </c>
      <c r="H1895" s="71" t="s">
        <v>2350</v>
      </c>
      <c r="I1895" s="71" t="s">
        <v>2340</v>
      </c>
    </row>
    <row r="1896" spans="1:9" ht="43.5" x14ac:dyDescent="0.35">
      <c r="A1896" s="195">
        <v>13</v>
      </c>
      <c r="B1896" s="195">
        <v>48</v>
      </c>
      <c r="C1896" s="195" t="s">
        <v>2388</v>
      </c>
      <c r="D1896" s="64">
        <v>141635</v>
      </c>
      <c r="E1896" s="195" t="s">
        <v>366</v>
      </c>
      <c r="F1896" s="71" t="s">
        <v>367</v>
      </c>
      <c r="G1896" s="71" t="s">
        <v>2375</v>
      </c>
      <c r="H1896" s="71" t="s">
        <v>2354</v>
      </c>
      <c r="I1896" s="71" t="s">
        <v>2331</v>
      </c>
    </row>
    <row r="1897" spans="1:9" ht="43.5" x14ac:dyDescent="0.35">
      <c r="A1897" s="195">
        <v>13</v>
      </c>
      <c r="B1897" s="195">
        <v>49</v>
      </c>
      <c r="C1897" s="195" t="s">
        <v>2389</v>
      </c>
      <c r="D1897" s="64">
        <v>22210</v>
      </c>
      <c r="E1897" s="195" t="s">
        <v>373</v>
      </c>
      <c r="F1897" s="71" t="s">
        <v>367</v>
      </c>
      <c r="G1897" s="71" t="s">
        <v>2375</v>
      </c>
      <c r="H1897" s="71" t="s">
        <v>2354</v>
      </c>
      <c r="I1897" s="71" t="s">
        <v>2338</v>
      </c>
    </row>
    <row r="1898" spans="1:9" ht="43.5" x14ac:dyDescent="0.35">
      <c r="A1898" s="195">
        <v>13</v>
      </c>
      <c r="B1898" s="195">
        <v>50</v>
      </c>
      <c r="C1898" s="195" t="s">
        <v>2390</v>
      </c>
      <c r="D1898" s="64">
        <v>119430</v>
      </c>
      <c r="E1898" s="195" t="s">
        <v>373</v>
      </c>
      <c r="F1898" s="71" t="s">
        <v>367</v>
      </c>
      <c r="G1898" s="71" t="s">
        <v>2375</v>
      </c>
      <c r="H1898" s="71" t="s">
        <v>2354</v>
      </c>
      <c r="I1898" s="71" t="s">
        <v>2340</v>
      </c>
    </row>
    <row r="1899" spans="1:9" x14ac:dyDescent="0.35">
      <c r="A1899" s="195">
        <v>13</v>
      </c>
      <c r="B1899" s="195">
        <v>51</v>
      </c>
      <c r="C1899" s="195" t="s">
        <v>2391</v>
      </c>
      <c r="D1899" s="64">
        <v>846440</v>
      </c>
      <c r="E1899" s="195" t="s">
        <v>366</v>
      </c>
      <c r="F1899" s="71" t="s">
        <v>508</v>
      </c>
      <c r="G1899" s="71" t="s">
        <v>2329</v>
      </c>
      <c r="H1899" s="71" t="s">
        <v>2330</v>
      </c>
      <c r="I1899" s="71" t="s">
        <v>2331</v>
      </c>
    </row>
    <row r="1900" spans="1:9" ht="29" x14ac:dyDescent="0.35">
      <c r="A1900" s="195">
        <v>13</v>
      </c>
      <c r="B1900" s="195">
        <v>52</v>
      </c>
      <c r="C1900" s="195" t="s">
        <v>2392</v>
      </c>
      <c r="D1900" s="64">
        <v>180685</v>
      </c>
      <c r="E1900" s="195" t="s">
        <v>366</v>
      </c>
      <c r="F1900" s="71" t="s">
        <v>508</v>
      </c>
      <c r="G1900" s="71" t="s">
        <v>2334</v>
      </c>
      <c r="H1900" s="71" t="s">
        <v>2330</v>
      </c>
      <c r="I1900" s="71" t="s">
        <v>2331</v>
      </c>
    </row>
    <row r="1901" spans="1:9" ht="43.5" x14ac:dyDescent="0.35">
      <c r="A1901" s="195">
        <v>13</v>
      </c>
      <c r="B1901" s="195">
        <v>53</v>
      </c>
      <c r="C1901" s="195" t="s">
        <v>2393</v>
      </c>
      <c r="D1901" s="64">
        <v>51565</v>
      </c>
      <c r="E1901" s="195" t="s">
        <v>366</v>
      </c>
      <c r="F1901" s="71" t="s">
        <v>508</v>
      </c>
      <c r="G1901" s="71" t="s">
        <v>2334</v>
      </c>
      <c r="H1901" s="71" t="s">
        <v>2336</v>
      </c>
      <c r="I1901" s="71" t="s">
        <v>2331</v>
      </c>
    </row>
    <row r="1902" spans="1:9" ht="43.5" x14ac:dyDescent="0.35">
      <c r="A1902" s="195">
        <v>13</v>
      </c>
      <c r="B1902" s="195">
        <v>54</v>
      </c>
      <c r="C1902" s="195" t="s">
        <v>2394</v>
      </c>
      <c r="D1902" s="64">
        <v>7815</v>
      </c>
      <c r="E1902" s="195" t="s">
        <v>373</v>
      </c>
      <c r="F1902" s="71" t="s">
        <v>508</v>
      </c>
      <c r="G1902" s="71" t="s">
        <v>2334</v>
      </c>
      <c r="H1902" s="71" t="s">
        <v>2336</v>
      </c>
      <c r="I1902" s="71" t="s">
        <v>2338</v>
      </c>
    </row>
    <row r="1903" spans="1:9" ht="43.5" x14ac:dyDescent="0.35">
      <c r="A1903" s="195">
        <v>13</v>
      </c>
      <c r="B1903" s="195">
        <v>55</v>
      </c>
      <c r="C1903" s="195" t="s">
        <v>2395</v>
      </c>
      <c r="D1903" s="64">
        <v>43750</v>
      </c>
      <c r="E1903" s="195" t="s">
        <v>373</v>
      </c>
      <c r="F1903" s="71" t="s">
        <v>508</v>
      </c>
      <c r="G1903" s="71" t="s">
        <v>2334</v>
      </c>
      <c r="H1903" s="71" t="s">
        <v>2336</v>
      </c>
      <c r="I1903" s="71" t="s">
        <v>2340</v>
      </c>
    </row>
    <row r="1904" spans="1:9" ht="43.5" x14ac:dyDescent="0.35">
      <c r="A1904" s="195">
        <v>13</v>
      </c>
      <c r="B1904" s="195">
        <v>56</v>
      </c>
      <c r="C1904" s="195" t="s">
        <v>2396</v>
      </c>
      <c r="D1904" s="64">
        <v>25470</v>
      </c>
      <c r="E1904" s="195" t="s">
        <v>366</v>
      </c>
      <c r="F1904" s="71" t="s">
        <v>508</v>
      </c>
      <c r="G1904" s="71" t="s">
        <v>2334</v>
      </c>
      <c r="H1904" s="71" t="s">
        <v>2342</v>
      </c>
      <c r="I1904" s="71" t="s">
        <v>2331</v>
      </c>
    </row>
    <row r="1905" spans="1:9" ht="43.5" x14ac:dyDescent="0.35">
      <c r="A1905" s="195">
        <v>13</v>
      </c>
      <c r="B1905" s="195">
        <v>57</v>
      </c>
      <c r="C1905" s="195" t="s">
        <v>2397</v>
      </c>
      <c r="D1905" s="64">
        <v>4640</v>
      </c>
      <c r="E1905" s="195" t="s">
        <v>373</v>
      </c>
      <c r="F1905" s="71" t="s">
        <v>508</v>
      </c>
      <c r="G1905" s="71" t="s">
        <v>2334</v>
      </c>
      <c r="H1905" s="71" t="s">
        <v>2342</v>
      </c>
      <c r="I1905" s="71" t="s">
        <v>2338</v>
      </c>
    </row>
    <row r="1906" spans="1:9" ht="43.5" x14ac:dyDescent="0.35">
      <c r="A1906" s="195">
        <v>13</v>
      </c>
      <c r="B1906" s="195">
        <v>58</v>
      </c>
      <c r="C1906" s="195" t="s">
        <v>2398</v>
      </c>
      <c r="D1906" s="64">
        <v>20825</v>
      </c>
      <c r="E1906" s="195" t="s">
        <v>373</v>
      </c>
      <c r="F1906" s="71" t="s">
        <v>508</v>
      </c>
      <c r="G1906" s="71" t="s">
        <v>2334</v>
      </c>
      <c r="H1906" s="71" t="s">
        <v>2342</v>
      </c>
      <c r="I1906" s="71" t="s">
        <v>2340</v>
      </c>
    </row>
    <row r="1907" spans="1:9" ht="43.5" x14ac:dyDescent="0.35">
      <c r="A1907" s="195">
        <v>13</v>
      </c>
      <c r="B1907" s="195">
        <v>59</v>
      </c>
      <c r="C1907" s="195" t="s">
        <v>2399</v>
      </c>
      <c r="D1907" s="64">
        <v>26240</v>
      </c>
      <c r="E1907" s="195" t="s">
        <v>366</v>
      </c>
      <c r="F1907" s="71" t="s">
        <v>508</v>
      </c>
      <c r="G1907" s="71" t="s">
        <v>2334</v>
      </c>
      <c r="H1907" s="71" t="s">
        <v>2346</v>
      </c>
      <c r="I1907" s="71" t="s">
        <v>2331</v>
      </c>
    </row>
    <row r="1908" spans="1:9" ht="43.5" x14ac:dyDescent="0.35">
      <c r="A1908" s="195">
        <v>13</v>
      </c>
      <c r="B1908" s="195">
        <v>60</v>
      </c>
      <c r="C1908" s="195" t="s">
        <v>2400</v>
      </c>
      <c r="D1908" s="64">
        <v>3890</v>
      </c>
      <c r="E1908" s="195" t="s">
        <v>373</v>
      </c>
      <c r="F1908" s="71" t="s">
        <v>508</v>
      </c>
      <c r="G1908" s="71" t="s">
        <v>2334</v>
      </c>
      <c r="H1908" s="71" t="s">
        <v>2346</v>
      </c>
      <c r="I1908" s="71" t="s">
        <v>2338</v>
      </c>
    </row>
    <row r="1909" spans="1:9" ht="43.5" x14ac:dyDescent="0.35">
      <c r="A1909" s="195">
        <v>13</v>
      </c>
      <c r="B1909" s="195">
        <v>61</v>
      </c>
      <c r="C1909" s="195" t="s">
        <v>2401</v>
      </c>
      <c r="D1909" s="64">
        <v>22350</v>
      </c>
      <c r="E1909" s="195" t="s">
        <v>373</v>
      </c>
      <c r="F1909" s="71" t="s">
        <v>508</v>
      </c>
      <c r="G1909" s="71" t="s">
        <v>2334</v>
      </c>
      <c r="H1909" s="71" t="s">
        <v>2346</v>
      </c>
      <c r="I1909" s="71" t="s">
        <v>2340</v>
      </c>
    </row>
    <row r="1910" spans="1:9" ht="43.5" x14ac:dyDescent="0.35">
      <c r="A1910" s="195">
        <v>13</v>
      </c>
      <c r="B1910" s="195">
        <v>62</v>
      </c>
      <c r="C1910" s="195" t="s">
        <v>2402</v>
      </c>
      <c r="D1910" s="64">
        <v>15070</v>
      </c>
      <c r="E1910" s="195" t="s">
        <v>366</v>
      </c>
      <c r="F1910" s="71" t="s">
        <v>508</v>
      </c>
      <c r="G1910" s="71" t="s">
        <v>2334</v>
      </c>
      <c r="H1910" s="71" t="s">
        <v>2350</v>
      </c>
      <c r="I1910" s="71" t="s">
        <v>2331</v>
      </c>
    </row>
    <row r="1911" spans="1:9" ht="43.5" x14ac:dyDescent="0.35">
      <c r="A1911" s="195">
        <v>13</v>
      </c>
      <c r="B1911" s="195">
        <v>63</v>
      </c>
      <c r="C1911" s="195" t="s">
        <v>2403</v>
      </c>
      <c r="D1911" s="64">
        <v>2385</v>
      </c>
      <c r="E1911" s="195" t="s">
        <v>373</v>
      </c>
      <c r="F1911" s="71" t="s">
        <v>508</v>
      </c>
      <c r="G1911" s="71" t="s">
        <v>2334</v>
      </c>
      <c r="H1911" s="71" t="s">
        <v>2350</v>
      </c>
      <c r="I1911" s="71" t="s">
        <v>2338</v>
      </c>
    </row>
    <row r="1912" spans="1:9" ht="43.5" x14ac:dyDescent="0.35">
      <c r="A1912" s="195">
        <v>13</v>
      </c>
      <c r="B1912" s="195">
        <v>64</v>
      </c>
      <c r="C1912" s="195" t="s">
        <v>2404</v>
      </c>
      <c r="D1912" s="64">
        <v>12685</v>
      </c>
      <c r="E1912" s="195" t="s">
        <v>373</v>
      </c>
      <c r="F1912" s="71" t="s">
        <v>508</v>
      </c>
      <c r="G1912" s="71" t="s">
        <v>2334</v>
      </c>
      <c r="H1912" s="71" t="s">
        <v>2350</v>
      </c>
      <c r="I1912" s="71" t="s">
        <v>2340</v>
      </c>
    </row>
    <row r="1913" spans="1:9" ht="43.5" x14ac:dyDescent="0.35">
      <c r="A1913" s="195">
        <v>13</v>
      </c>
      <c r="B1913" s="195">
        <v>65</v>
      </c>
      <c r="C1913" s="195" t="s">
        <v>2405</v>
      </c>
      <c r="D1913" s="64">
        <v>62340</v>
      </c>
      <c r="E1913" s="195" t="s">
        <v>366</v>
      </c>
      <c r="F1913" s="71" t="s">
        <v>508</v>
      </c>
      <c r="G1913" s="71" t="s">
        <v>2334</v>
      </c>
      <c r="H1913" s="71" t="s">
        <v>2354</v>
      </c>
      <c r="I1913" s="71" t="s">
        <v>2331</v>
      </c>
    </row>
    <row r="1914" spans="1:9" ht="43.5" x14ac:dyDescent="0.35">
      <c r="A1914" s="195">
        <v>13</v>
      </c>
      <c r="B1914" s="195">
        <v>66</v>
      </c>
      <c r="C1914" s="195" t="s">
        <v>2406</v>
      </c>
      <c r="D1914" s="64">
        <v>7395</v>
      </c>
      <c r="E1914" s="195" t="s">
        <v>373</v>
      </c>
      <c r="F1914" s="71" t="s">
        <v>508</v>
      </c>
      <c r="G1914" s="71" t="s">
        <v>2334</v>
      </c>
      <c r="H1914" s="71" t="s">
        <v>2354</v>
      </c>
      <c r="I1914" s="71" t="s">
        <v>2338</v>
      </c>
    </row>
    <row r="1915" spans="1:9" ht="43.5" x14ac:dyDescent="0.35">
      <c r="A1915" s="195">
        <v>13</v>
      </c>
      <c r="B1915" s="195">
        <v>67</v>
      </c>
      <c r="C1915" s="195" t="s">
        <v>2407</v>
      </c>
      <c r="D1915" s="64">
        <v>54950</v>
      </c>
      <c r="E1915" s="195" t="s">
        <v>373</v>
      </c>
      <c r="F1915" s="71" t="s">
        <v>508</v>
      </c>
      <c r="G1915" s="71" t="s">
        <v>2334</v>
      </c>
      <c r="H1915" s="71" t="s">
        <v>2354</v>
      </c>
      <c r="I1915" s="71" t="s">
        <v>2340</v>
      </c>
    </row>
    <row r="1916" spans="1:9" ht="43.5" x14ac:dyDescent="0.35">
      <c r="A1916" s="195">
        <v>13</v>
      </c>
      <c r="B1916" s="195">
        <v>68</v>
      </c>
      <c r="C1916" s="195" t="s">
        <v>2408</v>
      </c>
      <c r="D1916" s="64">
        <v>369200</v>
      </c>
      <c r="E1916" s="195" t="s">
        <v>366</v>
      </c>
      <c r="F1916" s="71" t="s">
        <v>508</v>
      </c>
      <c r="G1916" s="71" t="s">
        <v>2358</v>
      </c>
      <c r="H1916" s="71" t="s">
        <v>2330</v>
      </c>
      <c r="I1916" s="71" t="s">
        <v>2331</v>
      </c>
    </row>
    <row r="1917" spans="1:9" ht="43.5" x14ac:dyDescent="0.35">
      <c r="A1917" s="195">
        <v>13</v>
      </c>
      <c r="B1917" s="195">
        <v>69</v>
      </c>
      <c r="C1917" s="195" t="s">
        <v>2409</v>
      </c>
      <c r="D1917" s="64">
        <v>116610</v>
      </c>
      <c r="E1917" s="195" t="s">
        <v>366</v>
      </c>
      <c r="F1917" s="71" t="s">
        <v>508</v>
      </c>
      <c r="G1917" s="71" t="s">
        <v>2358</v>
      </c>
      <c r="H1917" s="71" t="s">
        <v>2336</v>
      </c>
      <c r="I1917" s="71" t="s">
        <v>2331</v>
      </c>
    </row>
    <row r="1918" spans="1:9" ht="43.5" x14ac:dyDescent="0.35">
      <c r="A1918" s="195">
        <v>13</v>
      </c>
      <c r="B1918" s="195">
        <v>70</v>
      </c>
      <c r="C1918" s="195" t="s">
        <v>2410</v>
      </c>
      <c r="D1918" s="64">
        <v>23980</v>
      </c>
      <c r="E1918" s="195" t="s">
        <v>373</v>
      </c>
      <c r="F1918" s="71" t="s">
        <v>508</v>
      </c>
      <c r="G1918" s="71" t="s">
        <v>2358</v>
      </c>
      <c r="H1918" s="71" t="s">
        <v>2336</v>
      </c>
      <c r="I1918" s="71" t="s">
        <v>2338</v>
      </c>
    </row>
    <row r="1919" spans="1:9" ht="43.5" x14ac:dyDescent="0.35">
      <c r="A1919" s="195">
        <v>13</v>
      </c>
      <c r="B1919" s="195">
        <v>71</v>
      </c>
      <c r="C1919" s="195" t="s">
        <v>2411</v>
      </c>
      <c r="D1919" s="64">
        <v>92630</v>
      </c>
      <c r="E1919" s="195" t="s">
        <v>373</v>
      </c>
      <c r="F1919" s="71" t="s">
        <v>508</v>
      </c>
      <c r="G1919" s="71" t="s">
        <v>2358</v>
      </c>
      <c r="H1919" s="71" t="s">
        <v>2336</v>
      </c>
      <c r="I1919" s="71" t="s">
        <v>2340</v>
      </c>
    </row>
    <row r="1920" spans="1:9" ht="43.5" x14ac:dyDescent="0.35">
      <c r="A1920" s="195">
        <v>13</v>
      </c>
      <c r="B1920" s="195">
        <v>72</v>
      </c>
      <c r="C1920" s="195" t="s">
        <v>2412</v>
      </c>
      <c r="D1920" s="64">
        <v>67505</v>
      </c>
      <c r="E1920" s="195" t="s">
        <v>366</v>
      </c>
      <c r="F1920" s="71" t="s">
        <v>508</v>
      </c>
      <c r="G1920" s="71" t="s">
        <v>2358</v>
      </c>
      <c r="H1920" s="71" t="s">
        <v>2342</v>
      </c>
      <c r="I1920" s="71" t="s">
        <v>2331</v>
      </c>
    </row>
    <row r="1921" spans="1:9" ht="43.5" x14ac:dyDescent="0.35">
      <c r="A1921" s="195">
        <v>13</v>
      </c>
      <c r="B1921" s="195">
        <v>73</v>
      </c>
      <c r="C1921" s="195" t="s">
        <v>2413</v>
      </c>
      <c r="D1921" s="64">
        <v>14400</v>
      </c>
      <c r="E1921" s="195" t="s">
        <v>373</v>
      </c>
      <c r="F1921" s="71" t="s">
        <v>508</v>
      </c>
      <c r="G1921" s="71" t="s">
        <v>2358</v>
      </c>
      <c r="H1921" s="71" t="s">
        <v>2342</v>
      </c>
      <c r="I1921" s="71" t="s">
        <v>2338</v>
      </c>
    </row>
    <row r="1922" spans="1:9" ht="43.5" x14ac:dyDescent="0.35">
      <c r="A1922" s="195">
        <v>13</v>
      </c>
      <c r="B1922" s="195">
        <v>74</v>
      </c>
      <c r="C1922" s="195" t="s">
        <v>2414</v>
      </c>
      <c r="D1922" s="64">
        <v>53105</v>
      </c>
      <c r="E1922" s="195" t="s">
        <v>373</v>
      </c>
      <c r="F1922" s="71" t="s">
        <v>508</v>
      </c>
      <c r="G1922" s="71" t="s">
        <v>2358</v>
      </c>
      <c r="H1922" s="71" t="s">
        <v>2342</v>
      </c>
      <c r="I1922" s="71" t="s">
        <v>2340</v>
      </c>
    </row>
    <row r="1923" spans="1:9" ht="43.5" x14ac:dyDescent="0.35">
      <c r="A1923" s="195">
        <v>13</v>
      </c>
      <c r="B1923" s="195">
        <v>75</v>
      </c>
      <c r="C1923" s="195" t="s">
        <v>2415</v>
      </c>
      <c r="D1923" s="64">
        <v>70260</v>
      </c>
      <c r="E1923" s="195" t="s">
        <v>366</v>
      </c>
      <c r="F1923" s="71" t="s">
        <v>508</v>
      </c>
      <c r="G1923" s="71" t="s">
        <v>2358</v>
      </c>
      <c r="H1923" s="71" t="s">
        <v>2346</v>
      </c>
      <c r="I1923" s="71" t="s">
        <v>2331</v>
      </c>
    </row>
    <row r="1924" spans="1:9" ht="43.5" x14ac:dyDescent="0.35">
      <c r="A1924" s="195">
        <v>13</v>
      </c>
      <c r="B1924" s="195">
        <v>76</v>
      </c>
      <c r="C1924" s="195" t="s">
        <v>2416</v>
      </c>
      <c r="D1924" s="64">
        <v>12550</v>
      </c>
      <c r="E1924" s="195" t="s">
        <v>373</v>
      </c>
      <c r="F1924" s="71" t="s">
        <v>508</v>
      </c>
      <c r="G1924" s="71" t="s">
        <v>2358</v>
      </c>
      <c r="H1924" s="71" t="s">
        <v>2346</v>
      </c>
      <c r="I1924" s="71" t="s">
        <v>2338</v>
      </c>
    </row>
    <row r="1925" spans="1:9" ht="43.5" x14ac:dyDescent="0.35">
      <c r="A1925" s="195">
        <v>13</v>
      </c>
      <c r="B1925" s="195">
        <v>77</v>
      </c>
      <c r="C1925" s="195" t="s">
        <v>2417</v>
      </c>
      <c r="D1925" s="64">
        <v>57715</v>
      </c>
      <c r="E1925" s="195" t="s">
        <v>373</v>
      </c>
      <c r="F1925" s="71" t="s">
        <v>508</v>
      </c>
      <c r="G1925" s="71" t="s">
        <v>2358</v>
      </c>
      <c r="H1925" s="71" t="s">
        <v>2346</v>
      </c>
      <c r="I1925" s="71" t="s">
        <v>2340</v>
      </c>
    </row>
    <row r="1926" spans="1:9" ht="43.5" x14ac:dyDescent="0.35">
      <c r="A1926" s="195">
        <v>13</v>
      </c>
      <c r="B1926" s="195">
        <v>78</v>
      </c>
      <c r="C1926" s="195" t="s">
        <v>2418</v>
      </c>
      <c r="D1926" s="64">
        <v>34050</v>
      </c>
      <c r="E1926" s="195" t="s">
        <v>366</v>
      </c>
      <c r="F1926" s="71" t="s">
        <v>508</v>
      </c>
      <c r="G1926" s="71" t="s">
        <v>2358</v>
      </c>
      <c r="H1926" s="71" t="s">
        <v>2350</v>
      </c>
      <c r="I1926" s="71" t="s">
        <v>2331</v>
      </c>
    </row>
    <row r="1927" spans="1:9" ht="43.5" x14ac:dyDescent="0.35">
      <c r="A1927" s="195">
        <v>13</v>
      </c>
      <c r="B1927" s="195">
        <v>79</v>
      </c>
      <c r="C1927" s="195" t="s">
        <v>2419</v>
      </c>
      <c r="D1927" s="64">
        <v>4825</v>
      </c>
      <c r="E1927" s="195" t="s">
        <v>373</v>
      </c>
      <c r="F1927" s="71" t="s">
        <v>508</v>
      </c>
      <c r="G1927" s="71" t="s">
        <v>2358</v>
      </c>
      <c r="H1927" s="71" t="s">
        <v>2350</v>
      </c>
      <c r="I1927" s="71" t="s">
        <v>2338</v>
      </c>
    </row>
    <row r="1928" spans="1:9" ht="43.5" x14ac:dyDescent="0.35">
      <c r="A1928" s="195">
        <v>13</v>
      </c>
      <c r="B1928" s="195">
        <v>80</v>
      </c>
      <c r="C1928" s="195" t="s">
        <v>2420</v>
      </c>
      <c r="D1928" s="64">
        <v>29225</v>
      </c>
      <c r="E1928" s="195" t="s">
        <v>373</v>
      </c>
      <c r="F1928" s="71" t="s">
        <v>508</v>
      </c>
      <c r="G1928" s="71" t="s">
        <v>2358</v>
      </c>
      <c r="H1928" s="71" t="s">
        <v>2350</v>
      </c>
      <c r="I1928" s="71" t="s">
        <v>2340</v>
      </c>
    </row>
    <row r="1929" spans="1:9" ht="43.5" x14ac:dyDescent="0.35">
      <c r="A1929" s="195">
        <v>13</v>
      </c>
      <c r="B1929" s="195">
        <v>81</v>
      </c>
      <c r="C1929" s="195" t="s">
        <v>2421</v>
      </c>
      <c r="D1929" s="64">
        <v>80770</v>
      </c>
      <c r="E1929" s="195" t="s">
        <v>366</v>
      </c>
      <c r="F1929" s="71" t="s">
        <v>508</v>
      </c>
      <c r="G1929" s="71" t="s">
        <v>2358</v>
      </c>
      <c r="H1929" s="71" t="s">
        <v>2354</v>
      </c>
      <c r="I1929" s="71" t="s">
        <v>2331</v>
      </c>
    </row>
    <row r="1930" spans="1:9" ht="43.5" x14ac:dyDescent="0.35">
      <c r="A1930" s="195">
        <v>13</v>
      </c>
      <c r="B1930" s="195">
        <v>82</v>
      </c>
      <c r="C1930" s="195" t="s">
        <v>2422</v>
      </c>
      <c r="D1930" s="64">
        <v>10010</v>
      </c>
      <c r="E1930" s="195" t="s">
        <v>373</v>
      </c>
      <c r="F1930" s="71" t="s">
        <v>508</v>
      </c>
      <c r="G1930" s="71" t="s">
        <v>2358</v>
      </c>
      <c r="H1930" s="71" t="s">
        <v>2354</v>
      </c>
      <c r="I1930" s="71" t="s">
        <v>2338</v>
      </c>
    </row>
    <row r="1931" spans="1:9" ht="43.5" x14ac:dyDescent="0.35">
      <c r="A1931" s="195">
        <v>13</v>
      </c>
      <c r="B1931" s="195">
        <v>83</v>
      </c>
      <c r="C1931" s="195" t="s">
        <v>2423</v>
      </c>
      <c r="D1931" s="64">
        <v>70760</v>
      </c>
      <c r="E1931" s="195" t="s">
        <v>373</v>
      </c>
      <c r="F1931" s="71" t="s">
        <v>508</v>
      </c>
      <c r="G1931" s="71" t="s">
        <v>2358</v>
      </c>
      <c r="H1931" s="71" t="s">
        <v>2354</v>
      </c>
      <c r="I1931" s="71" t="s">
        <v>2340</v>
      </c>
    </row>
    <row r="1932" spans="1:9" ht="29" x14ac:dyDescent="0.35">
      <c r="A1932" s="195">
        <v>13</v>
      </c>
      <c r="B1932" s="195">
        <v>84</v>
      </c>
      <c r="C1932" s="195" t="s">
        <v>2424</v>
      </c>
      <c r="D1932" s="64">
        <v>296555</v>
      </c>
      <c r="E1932" s="195" t="s">
        <v>366</v>
      </c>
      <c r="F1932" s="71" t="s">
        <v>508</v>
      </c>
      <c r="G1932" s="71" t="s">
        <v>2375</v>
      </c>
      <c r="H1932" s="71" t="s">
        <v>2330</v>
      </c>
      <c r="I1932" s="71" t="s">
        <v>2331</v>
      </c>
    </row>
    <row r="1933" spans="1:9" ht="43.5" x14ac:dyDescent="0.35">
      <c r="A1933" s="195">
        <v>13</v>
      </c>
      <c r="B1933" s="195">
        <v>85</v>
      </c>
      <c r="C1933" s="195" t="s">
        <v>2425</v>
      </c>
      <c r="D1933" s="64">
        <v>95040</v>
      </c>
      <c r="E1933" s="195" t="s">
        <v>366</v>
      </c>
      <c r="F1933" s="71" t="s">
        <v>508</v>
      </c>
      <c r="G1933" s="71" t="s">
        <v>2375</v>
      </c>
      <c r="H1933" s="71" t="s">
        <v>2336</v>
      </c>
      <c r="I1933" s="71" t="s">
        <v>2331</v>
      </c>
    </row>
    <row r="1934" spans="1:9" ht="43.5" x14ac:dyDescent="0.35">
      <c r="A1934" s="195">
        <v>13</v>
      </c>
      <c r="B1934" s="195">
        <v>86</v>
      </c>
      <c r="C1934" s="195" t="s">
        <v>2426</v>
      </c>
      <c r="D1934" s="64">
        <v>20895</v>
      </c>
      <c r="E1934" s="195" t="s">
        <v>373</v>
      </c>
      <c r="F1934" s="71" t="s">
        <v>508</v>
      </c>
      <c r="G1934" s="71" t="s">
        <v>2375</v>
      </c>
      <c r="H1934" s="71" t="s">
        <v>2336</v>
      </c>
      <c r="I1934" s="71" t="s">
        <v>2338</v>
      </c>
    </row>
    <row r="1935" spans="1:9" ht="43.5" x14ac:dyDescent="0.35">
      <c r="A1935" s="195">
        <v>13</v>
      </c>
      <c r="B1935" s="195">
        <v>87</v>
      </c>
      <c r="C1935" s="195" t="s">
        <v>2427</v>
      </c>
      <c r="D1935" s="64">
        <v>74145</v>
      </c>
      <c r="E1935" s="195" t="s">
        <v>373</v>
      </c>
      <c r="F1935" s="71" t="s">
        <v>508</v>
      </c>
      <c r="G1935" s="71" t="s">
        <v>2375</v>
      </c>
      <c r="H1935" s="71" t="s">
        <v>2336</v>
      </c>
      <c r="I1935" s="71" t="s">
        <v>2340</v>
      </c>
    </row>
    <row r="1936" spans="1:9" ht="43.5" x14ac:dyDescent="0.35">
      <c r="A1936" s="195">
        <v>13</v>
      </c>
      <c r="B1936" s="195">
        <v>88</v>
      </c>
      <c r="C1936" s="195" t="s">
        <v>2428</v>
      </c>
      <c r="D1936" s="64">
        <v>54900</v>
      </c>
      <c r="E1936" s="195" t="s">
        <v>366</v>
      </c>
      <c r="F1936" s="71" t="s">
        <v>508</v>
      </c>
      <c r="G1936" s="71" t="s">
        <v>2375</v>
      </c>
      <c r="H1936" s="71" t="s">
        <v>2342</v>
      </c>
      <c r="I1936" s="71" t="s">
        <v>2331</v>
      </c>
    </row>
    <row r="1937" spans="1:9" ht="43.5" x14ac:dyDescent="0.35">
      <c r="A1937" s="195">
        <v>13</v>
      </c>
      <c r="B1937" s="195">
        <v>89</v>
      </c>
      <c r="C1937" s="195" t="s">
        <v>2429</v>
      </c>
      <c r="D1937" s="64">
        <v>12465</v>
      </c>
      <c r="E1937" s="195" t="s">
        <v>373</v>
      </c>
      <c r="F1937" s="71" t="s">
        <v>508</v>
      </c>
      <c r="G1937" s="71" t="s">
        <v>2375</v>
      </c>
      <c r="H1937" s="71" t="s">
        <v>2342</v>
      </c>
      <c r="I1937" s="71" t="s">
        <v>2338</v>
      </c>
    </row>
    <row r="1938" spans="1:9" ht="43.5" x14ac:dyDescent="0.35">
      <c r="A1938" s="195">
        <v>13</v>
      </c>
      <c r="B1938" s="195">
        <v>90</v>
      </c>
      <c r="C1938" s="195" t="s">
        <v>2430</v>
      </c>
      <c r="D1938" s="64">
        <v>42435</v>
      </c>
      <c r="E1938" s="195" t="s">
        <v>373</v>
      </c>
      <c r="F1938" s="71" t="s">
        <v>508</v>
      </c>
      <c r="G1938" s="71" t="s">
        <v>2375</v>
      </c>
      <c r="H1938" s="71" t="s">
        <v>2342</v>
      </c>
      <c r="I1938" s="71" t="s">
        <v>2340</v>
      </c>
    </row>
    <row r="1939" spans="1:9" ht="43.5" x14ac:dyDescent="0.35">
      <c r="A1939" s="195">
        <v>13</v>
      </c>
      <c r="B1939" s="195">
        <v>91</v>
      </c>
      <c r="C1939" s="195" t="s">
        <v>2431</v>
      </c>
      <c r="D1939" s="64">
        <v>56920</v>
      </c>
      <c r="E1939" s="195" t="s">
        <v>366</v>
      </c>
      <c r="F1939" s="71" t="s">
        <v>508</v>
      </c>
      <c r="G1939" s="71" t="s">
        <v>2375</v>
      </c>
      <c r="H1939" s="71" t="s">
        <v>2346</v>
      </c>
      <c r="I1939" s="71" t="s">
        <v>2331</v>
      </c>
    </row>
    <row r="1940" spans="1:9" ht="43.5" x14ac:dyDescent="0.35">
      <c r="A1940" s="195">
        <v>13</v>
      </c>
      <c r="B1940" s="195">
        <v>92</v>
      </c>
      <c r="C1940" s="195" t="s">
        <v>2432</v>
      </c>
      <c r="D1940" s="64">
        <v>9595</v>
      </c>
      <c r="E1940" s="195" t="s">
        <v>373</v>
      </c>
      <c r="F1940" s="71" t="s">
        <v>508</v>
      </c>
      <c r="G1940" s="71" t="s">
        <v>2375</v>
      </c>
      <c r="H1940" s="71" t="s">
        <v>2346</v>
      </c>
      <c r="I1940" s="71" t="s">
        <v>2338</v>
      </c>
    </row>
    <row r="1941" spans="1:9" ht="43.5" x14ac:dyDescent="0.35">
      <c r="A1941" s="195">
        <v>13</v>
      </c>
      <c r="B1941" s="195">
        <v>93</v>
      </c>
      <c r="C1941" s="195" t="s">
        <v>2433</v>
      </c>
      <c r="D1941" s="64">
        <v>47325</v>
      </c>
      <c r="E1941" s="195" t="s">
        <v>373</v>
      </c>
      <c r="F1941" s="71" t="s">
        <v>508</v>
      </c>
      <c r="G1941" s="71" t="s">
        <v>2375</v>
      </c>
      <c r="H1941" s="71" t="s">
        <v>2346</v>
      </c>
      <c r="I1941" s="71" t="s">
        <v>2340</v>
      </c>
    </row>
    <row r="1942" spans="1:9" ht="43.5" x14ac:dyDescent="0.35">
      <c r="A1942" s="195">
        <v>13</v>
      </c>
      <c r="B1942" s="195">
        <v>94</v>
      </c>
      <c r="C1942" s="195" t="s">
        <v>2434</v>
      </c>
      <c r="D1942" s="64">
        <v>23885</v>
      </c>
      <c r="E1942" s="195" t="s">
        <v>366</v>
      </c>
      <c r="F1942" s="71" t="s">
        <v>508</v>
      </c>
      <c r="G1942" s="71" t="s">
        <v>2375</v>
      </c>
      <c r="H1942" s="71" t="s">
        <v>2350</v>
      </c>
      <c r="I1942" s="71" t="s">
        <v>2331</v>
      </c>
    </row>
    <row r="1943" spans="1:9" ht="43.5" x14ac:dyDescent="0.35">
      <c r="A1943" s="195">
        <v>13</v>
      </c>
      <c r="B1943" s="195">
        <v>95</v>
      </c>
      <c r="C1943" s="195" t="s">
        <v>2435</v>
      </c>
      <c r="D1943" s="64">
        <v>3015</v>
      </c>
      <c r="E1943" s="195" t="s">
        <v>373</v>
      </c>
      <c r="F1943" s="71" t="s">
        <v>508</v>
      </c>
      <c r="G1943" s="71" t="s">
        <v>2375</v>
      </c>
      <c r="H1943" s="71" t="s">
        <v>2350</v>
      </c>
      <c r="I1943" s="71" t="s">
        <v>2338</v>
      </c>
    </row>
    <row r="1944" spans="1:9" ht="43.5" x14ac:dyDescent="0.35">
      <c r="A1944" s="195">
        <v>13</v>
      </c>
      <c r="B1944" s="195">
        <v>96</v>
      </c>
      <c r="C1944" s="195" t="s">
        <v>2436</v>
      </c>
      <c r="D1944" s="64">
        <v>20870</v>
      </c>
      <c r="E1944" s="195" t="s">
        <v>373</v>
      </c>
      <c r="F1944" s="71" t="s">
        <v>508</v>
      </c>
      <c r="G1944" s="71" t="s">
        <v>2375</v>
      </c>
      <c r="H1944" s="71" t="s">
        <v>2350</v>
      </c>
      <c r="I1944" s="71" t="s">
        <v>2340</v>
      </c>
    </row>
    <row r="1945" spans="1:9" ht="43.5" x14ac:dyDescent="0.35">
      <c r="A1945" s="195">
        <v>13</v>
      </c>
      <c r="B1945" s="195">
        <v>97</v>
      </c>
      <c r="C1945" s="195" t="s">
        <v>2437</v>
      </c>
      <c r="D1945" s="64">
        <v>65810</v>
      </c>
      <c r="E1945" s="195" t="s">
        <v>366</v>
      </c>
      <c r="F1945" s="71" t="s">
        <v>508</v>
      </c>
      <c r="G1945" s="71" t="s">
        <v>2375</v>
      </c>
      <c r="H1945" s="71" t="s">
        <v>2354</v>
      </c>
      <c r="I1945" s="71" t="s">
        <v>2331</v>
      </c>
    </row>
    <row r="1946" spans="1:9" ht="43.5" x14ac:dyDescent="0.35">
      <c r="A1946" s="195">
        <v>13</v>
      </c>
      <c r="B1946" s="195">
        <v>98</v>
      </c>
      <c r="C1946" s="195" t="s">
        <v>2438</v>
      </c>
      <c r="D1946" s="64">
        <v>6145</v>
      </c>
      <c r="E1946" s="195" t="s">
        <v>373</v>
      </c>
      <c r="F1946" s="71" t="s">
        <v>508</v>
      </c>
      <c r="G1946" s="71" t="s">
        <v>2375</v>
      </c>
      <c r="H1946" s="71" t="s">
        <v>2354</v>
      </c>
      <c r="I1946" s="71" t="s">
        <v>2338</v>
      </c>
    </row>
    <row r="1947" spans="1:9" ht="43.5" x14ac:dyDescent="0.35">
      <c r="A1947" s="195">
        <v>13</v>
      </c>
      <c r="B1947" s="195">
        <v>99</v>
      </c>
      <c r="C1947" s="195" t="s">
        <v>2439</v>
      </c>
      <c r="D1947" s="64">
        <v>59665</v>
      </c>
      <c r="E1947" s="195" t="s">
        <v>373</v>
      </c>
      <c r="F1947" s="71" t="s">
        <v>508</v>
      </c>
      <c r="G1947" s="71" t="s">
        <v>2375</v>
      </c>
      <c r="H1947" s="71" t="s">
        <v>2354</v>
      </c>
      <c r="I1947" s="71" t="s">
        <v>2340</v>
      </c>
    </row>
    <row r="1948" spans="1:9" ht="29" x14ac:dyDescent="0.35">
      <c r="A1948" s="195">
        <v>14</v>
      </c>
      <c r="B1948" s="195">
        <v>1</v>
      </c>
      <c r="C1948" s="195" t="s">
        <v>2440</v>
      </c>
      <c r="D1948" s="64">
        <v>26105</v>
      </c>
      <c r="E1948" s="195" t="s">
        <v>26</v>
      </c>
      <c r="F1948" s="71" t="s">
        <v>2441</v>
      </c>
      <c r="G1948" s="71" t="s">
        <v>1653</v>
      </c>
      <c r="H1948" s="71" t="s">
        <v>2442</v>
      </c>
      <c r="I1948" s="71" t="s">
        <v>2443</v>
      </c>
    </row>
    <row r="1949" spans="1:9" ht="29" x14ac:dyDescent="0.35">
      <c r="A1949" s="195">
        <v>14</v>
      </c>
      <c r="B1949" s="195">
        <v>1</v>
      </c>
      <c r="C1949" s="195" t="s">
        <v>2444</v>
      </c>
      <c r="D1949" s="64">
        <v>54685</v>
      </c>
      <c r="E1949" s="195" t="s">
        <v>26</v>
      </c>
      <c r="F1949" s="71" t="s">
        <v>2445</v>
      </c>
      <c r="G1949" s="71" t="s">
        <v>1653</v>
      </c>
      <c r="H1949" s="71" t="s">
        <v>2446</v>
      </c>
      <c r="I1949" s="71" t="s">
        <v>2443</v>
      </c>
    </row>
    <row r="1950" spans="1:9" ht="43.5" x14ac:dyDescent="0.35">
      <c r="A1950" s="195">
        <v>14</v>
      </c>
      <c r="B1950" s="195">
        <v>2</v>
      </c>
      <c r="C1950" s="195" t="s">
        <v>2447</v>
      </c>
      <c r="D1950" s="64">
        <v>9635</v>
      </c>
      <c r="E1950" s="195" t="s">
        <v>373</v>
      </c>
      <c r="F1950" s="71" t="s">
        <v>2448</v>
      </c>
      <c r="G1950" s="71" t="s">
        <v>2449</v>
      </c>
      <c r="H1950" s="71" t="s">
        <v>2442</v>
      </c>
      <c r="I1950" s="71" t="s">
        <v>2443</v>
      </c>
    </row>
    <row r="1951" spans="1:9" ht="43.5" x14ac:dyDescent="0.35">
      <c r="A1951" s="195">
        <v>14</v>
      </c>
      <c r="B1951" s="195">
        <v>2</v>
      </c>
      <c r="C1951" s="195" t="s">
        <v>2450</v>
      </c>
      <c r="D1951" s="64">
        <v>7480</v>
      </c>
      <c r="E1951" s="195" t="s">
        <v>373</v>
      </c>
      <c r="F1951" s="71" t="s">
        <v>2451</v>
      </c>
      <c r="G1951" s="71" t="s">
        <v>2449</v>
      </c>
      <c r="H1951" s="71" t="s">
        <v>2446</v>
      </c>
      <c r="I1951" s="71" t="s">
        <v>2443</v>
      </c>
    </row>
    <row r="1952" spans="1:9" ht="43.5" x14ac:dyDescent="0.35">
      <c r="A1952" s="195">
        <v>14</v>
      </c>
      <c r="B1952" s="195">
        <v>3</v>
      </c>
      <c r="C1952" s="195" t="s">
        <v>2452</v>
      </c>
      <c r="D1952" s="64">
        <v>16465</v>
      </c>
      <c r="E1952" s="195" t="s">
        <v>366</v>
      </c>
      <c r="F1952" s="71" t="s">
        <v>2448</v>
      </c>
      <c r="G1952" s="71" t="s">
        <v>2453</v>
      </c>
      <c r="H1952" s="71" t="s">
        <v>2442</v>
      </c>
      <c r="I1952" s="71" t="s">
        <v>2443</v>
      </c>
    </row>
    <row r="1953" spans="1:9" ht="43.5" x14ac:dyDescent="0.35">
      <c r="A1953" s="195">
        <v>14</v>
      </c>
      <c r="B1953" s="195">
        <v>3</v>
      </c>
      <c r="C1953" s="195" t="s">
        <v>2454</v>
      </c>
      <c r="D1953" s="64">
        <v>47205</v>
      </c>
      <c r="E1953" s="195" t="s">
        <v>366</v>
      </c>
      <c r="F1953" s="71" t="s">
        <v>2451</v>
      </c>
      <c r="G1953" s="71" t="s">
        <v>2453</v>
      </c>
      <c r="H1953" s="71" t="s">
        <v>2446</v>
      </c>
      <c r="I1953" s="71" t="s">
        <v>2443</v>
      </c>
    </row>
    <row r="1954" spans="1:9" ht="43.5" x14ac:dyDescent="0.35">
      <c r="A1954" s="195">
        <v>14</v>
      </c>
      <c r="B1954" s="195">
        <v>4</v>
      </c>
      <c r="C1954" s="195" t="s">
        <v>2457</v>
      </c>
      <c r="D1954" s="64">
        <v>5560</v>
      </c>
      <c r="E1954" s="195" t="s">
        <v>366</v>
      </c>
      <c r="F1954" s="71" t="s">
        <v>2448</v>
      </c>
      <c r="G1954" s="71" t="s">
        <v>2453</v>
      </c>
      <c r="H1954" s="71" t="s">
        <v>2458</v>
      </c>
      <c r="I1954" s="71" t="s">
        <v>2443</v>
      </c>
    </row>
    <row r="1955" spans="1:9" ht="43.5" x14ac:dyDescent="0.35">
      <c r="A1955" s="195">
        <v>14</v>
      </c>
      <c r="B1955" s="195">
        <v>4</v>
      </c>
      <c r="C1955" s="195" t="s">
        <v>2455</v>
      </c>
      <c r="D1955" s="64">
        <v>4910</v>
      </c>
      <c r="E1955" s="195" t="s">
        <v>366</v>
      </c>
      <c r="F1955" s="71" t="s">
        <v>2451</v>
      </c>
      <c r="G1955" s="71" t="s">
        <v>2453</v>
      </c>
      <c r="H1955" s="71" t="s">
        <v>2456</v>
      </c>
      <c r="I1955" s="71" t="s">
        <v>2443</v>
      </c>
    </row>
    <row r="1956" spans="1:9" ht="43.5" x14ac:dyDescent="0.35">
      <c r="A1956" s="195">
        <v>14</v>
      </c>
      <c r="B1956" s="195">
        <v>5</v>
      </c>
      <c r="C1956" s="195" t="s">
        <v>2459</v>
      </c>
      <c r="D1956" s="195">
        <v>535</v>
      </c>
      <c r="E1956" s="195" t="s">
        <v>373</v>
      </c>
      <c r="F1956" s="71" t="s">
        <v>2448</v>
      </c>
      <c r="G1956" s="71" t="s">
        <v>2453</v>
      </c>
      <c r="H1956" s="71" t="s">
        <v>2458</v>
      </c>
      <c r="I1956" s="71" t="s">
        <v>2460</v>
      </c>
    </row>
    <row r="1957" spans="1:9" ht="43.5" x14ac:dyDescent="0.35">
      <c r="A1957" s="195">
        <v>14</v>
      </c>
      <c r="B1957" s="195">
        <v>5</v>
      </c>
      <c r="C1957" s="195" t="s">
        <v>2461</v>
      </c>
      <c r="D1957" s="64">
        <v>1535</v>
      </c>
      <c r="E1957" s="195" t="s">
        <v>373</v>
      </c>
      <c r="F1957" s="71" t="s">
        <v>2451</v>
      </c>
      <c r="G1957" s="71" t="s">
        <v>2453</v>
      </c>
      <c r="H1957" s="71" t="s">
        <v>2456</v>
      </c>
      <c r="I1957" s="71" t="s">
        <v>2460</v>
      </c>
    </row>
    <row r="1958" spans="1:9" ht="43.5" x14ac:dyDescent="0.35">
      <c r="A1958" s="195">
        <v>14</v>
      </c>
      <c r="B1958" s="195">
        <v>6</v>
      </c>
      <c r="C1958" s="195" t="s">
        <v>2464</v>
      </c>
      <c r="D1958" s="64">
        <v>2160</v>
      </c>
      <c r="E1958" s="195" t="s">
        <v>373</v>
      </c>
      <c r="F1958" s="71" t="s">
        <v>2448</v>
      </c>
      <c r="G1958" s="71" t="s">
        <v>2453</v>
      </c>
      <c r="H1958" s="71" t="s">
        <v>2458</v>
      </c>
      <c r="I1958" s="71" t="s">
        <v>2463</v>
      </c>
    </row>
    <row r="1959" spans="1:9" ht="43.5" x14ac:dyDescent="0.35">
      <c r="A1959" s="195">
        <v>14</v>
      </c>
      <c r="B1959" s="195">
        <v>6</v>
      </c>
      <c r="C1959" s="195" t="s">
        <v>2462</v>
      </c>
      <c r="D1959" s="64">
        <v>1620</v>
      </c>
      <c r="E1959" s="195" t="s">
        <v>373</v>
      </c>
      <c r="F1959" s="71" t="s">
        <v>2451</v>
      </c>
      <c r="G1959" s="71" t="s">
        <v>2453</v>
      </c>
      <c r="H1959" s="71" t="s">
        <v>2456</v>
      </c>
      <c r="I1959" s="71" t="s">
        <v>2463</v>
      </c>
    </row>
    <row r="1960" spans="1:9" ht="43.5" x14ac:dyDescent="0.35">
      <c r="A1960" s="195">
        <v>14</v>
      </c>
      <c r="B1960" s="195">
        <v>7</v>
      </c>
      <c r="C1960" s="195" t="s">
        <v>2465</v>
      </c>
      <c r="D1960" s="64">
        <v>2865</v>
      </c>
      <c r="E1960" s="195" t="s">
        <v>373</v>
      </c>
      <c r="F1960" s="71" t="s">
        <v>2448</v>
      </c>
      <c r="G1960" s="71" t="s">
        <v>2453</v>
      </c>
      <c r="H1960" s="71" t="s">
        <v>2458</v>
      </c>
      <c r="I1960" s="71" t="s">
        <v>2466</v>
      </c>
    </row>
    <row r="1961" spans="1:9" ht="43.5" x14ac:dyDescent="0.35">
      <c r="A1961" s="195">
        <v>14</v>
      </c>
      <c r="B1961" s="195">
        <v>7</v>
      </c>
      <c r="C1961" s="195" t="s">
        <v>2467</v>
      </c>
      <c r="D1961" s="64">
        <v>1755</v>
      </c>
      <c r="E1961" s="195" t="s">
        <v>373</v>
      </c>
      <c r="F1961" s="71" t="s">
        <v>2451</v>
      </c>
      <c r="G1961" s="71" t="s">
        <v>2453</v>
      </c>
      <c r="H1961" s="71" t="s">
        <v>2456</v>
      </c>
      <c r="I1961" s="71" t="s">
        <v>2466</v>
      </c>
    </row>
    <row r="1962" spans="1:9" ht="43.5" x14ac:dyDescent="0.35">
      <c r="A1962" s="195">
        <v>14</v>
      </c>
      <c r="B1962" s="195">
        <v>8</v>
      </c>
      <c r="C1962" s="195" t="s">
        <v>2470</v>
      </c>
      <c r="D1962" s="64">
        <v>4145</v>
      </c>
      <c r="E1962" s="195" t="s">
        <v>366</v>
      </c>
      <c r="F1962" s="71" t="s">
        <v>2448</v>
      </c>
      <c r="G1962" s="71" t="s">
        <v>2453</v>
      </c>
      <c r="H1962" s="71" t="s">
        <v>2471</v>
      </c>
      <c r="I1962" s="71" t="s">
        <v>2443</v>
      </c>
    </row>
    <row r="1963" spans="1:9" ht="43.5" x14ac:dyDescent="0.35">
      <c r="A1963" s="195">
        <v>14</v>
      </c>
      <c r="B1963" s="195">
        <v>8</v>
      </c>
      <c r="C1963" s="195" t="s">
        <v>2468</v>
      </c>
      <c r="D1963" s="64">
        <v>19800</v>
      </c>
      <c r="E1963" s="195" t="s">
        <v>366</v>
      </c>
      <c r="F1963" s="71" t="s">
        <v>2451</v>
      </c>
      <c r="G1963" s="71" t="s">
        <v>2453</v>
      </c>
      <c r="H1963" s="71" t="s">
        <v>2469</v>
      </c>
      <c r="I1963" s="71" t="s">
        <v>2443</v>
      </c>
    </row>
    <row r="1964" spans="1:9" ht="43.5" x14ac:dyDescent="0.35">
      <c r="A1964" s="195">
        <v>14</v>
      </c>
      <c r="B1964" s="195">
        <v>9</v>
      </c>
      <c r="C1964" s="195" t="s">
        <v>2473</v>
      </c>
      <c r="D1964" s="195">
        <v>265</v>
      </c>
      <c r="E1964" s="195" t="s">
        <v>373</v>
      </c>
      <c r="F1964" s="71" t="s">
        <v>2448</v>
      </c>
      <c r="G1964" s="71" t="s">
        <v>2453</v>
      </c>
      <c r="H1964" s="71" t="s">
        <v>2471</v>
      </c>
      <c r="I1964" s="71" t="s">
        <v>2460</v>
      </c>
    </row>
    <row r="1965" spans="1:9" ht="43.5" x14ac:dyDescent="0.35">
      <c r="A1965" s="195">
        <v>14</v>
      </c>
      <c r="B1965" s="195">
        <v>9</v>
      </c>
      <c r="C1965" s="195" t="s">
        <v>2472</v>
      </c>
      <c r="D1965" s="64">
        <v>7635</v>
      </c>
      <c r="E1965" s="195" t="s">
        <v>373</v>
      </c>
      <c r="F1965" s="71" t="s">
        <v>2451</v>
      </c>
      <c r="G1965" s="71" t="s">
        <v>2453</v>
      </c>
      <c r="H1965" s="71" t="s">
        <v>2469</v>
      </c>
      <c r="I1965" s="71" t="s">
        <v>2460</v>
      </c>
    </row>
    <row r="1966" spans="1:9" ht="43.5" x14ac:dyDescent="0.35">
      <c r="A1966" s="195">
        <v>14</v>
      </c>
      <c r="B1966" s="195">
        <v>10</v>
      </c>
      <c r="C1966" s="195" t="s">
        <v>2474</v>
      </c>
      <c r="D1966" s="64">
        <v>1490</v>
      </c>
      <c r="E1966" s="195" t="s">
        <v>373</v>
      </c>
      <c r="F1966" s="71" t="s">
        <v>2448</v>
      </c>
      <c r="G1966" s="71" t="s">
        <v>2453</v>
      </c>
      <c r="H1966" s="71" t="s">
        <v>2471</v>
      </c>
      <c r="I1966" s="71" t="s">
        <v>2463</v>
      </c>
    </row>
    <row r="1967" spans="1:9" ht="43.5" x14ac:dyDescent="0.35">
      <c r="A1967" s="195">
        <v>14</v>
      </c>
      <c r="B1967" s="195">
        <v>10</v>
      </c>
      <c r="C1967" s="195" t="s">
        <v>2475</v>
      </c>
      <c r="D1967" s="64">
        <v>8090</v>
      </c>
      <c r="E1967" s="195" t="s">
        <v>373</v>
      </c>
      <c r="F1967" s="71" t="s">
        <v>2451</v>
      </c>
      <c r="G1967" s="71" t="s">
        <v>2453</v>
      </c>
      <c r="H1967" s="71" t="s">
        <v>2469</v>
      </c>
      <c r="I1967" s="71" t="s">
        <v>2463</v>
      </c>
    </row>
    <row r="1968" spans="1:9" ht="43.5" x14ac:dyDescent="0.35">
      <c r="A1968" s="195">
        <v>14</v>
      </c>
      <c r="B1968" s="195">
        <v>11</v>
      </c>
      <c r="C1968" s="195" t="s">
        <v>2476</v>
      </c>
      <c r="D1968" s="64">
        <v>2395</v>
      </c>
      <c r="E1968" s="195" t="s">
        <v>373</v>
      </c>
      <c r="F1968" s="71" t="s">
        <v>2448</v>
      </c>
      <c r="G1968" s="71" t="s">
        <v>2453</v>
      </c>
      <c r="H1968" s="71" t="s">
        <v>2471</v>
      </c>
      <c r="I1968" s="71" t="s">
        <v>2466</v>
      </c>
    </row>
    <row r="1969" spans="1:9" ht="43.5" x14ac:dyDescent="0.35">
      <c r="A1969" s="195">
        <v>14</v>
      </c>
      <c r="B1969" s="195">
        <v>11</v>
      </c>
      <c r="C1969" s="195" t="s">
        <v>2477</v>
      </c>
      <c r="D1969" s="64">
        <v>4075</v>
      </c>
      <c r="E1969" s="195" t="s">
        <v>373</v>
      </c>
      <c r="F1969" s="71" t="s">
        <v>2451</v>
      </c>
      <c r="G1969" s="71" t="s">
        <v>2453</v>
      </c>
      <c r="H1969" s="71" t="s">
        <v>2469</v>
      </c>
      <c r="I1969" s="71" t="s">
        <v>2466</v>
      </c>
    </row>
    <row r="1970" spans="1:9" ht="43.5" x14ac:dyDescent="0.35">
      <c r="A1970" s="195">
        <v>14</v>
      </c>
      <c r="B1970" s="195">
        <v>12</v>
      </c>
      <c r="C1970" s="195" t="s">
        <v>2480</v>
      </c>
      <c r="D1970" s="64">
        <v>1880</v>
      </c>
      <c r="E1970" s="195" t="s">
        <v>366</v>
      </c>
      <c r="F1970" s="71" t="s">
        <v>2448</v>
      </c>
      <c r="G1970" s="71" t="s">
        <v>2453</v>
      </c>
      <c r="H1970" s="71" t="s">
        <v>2481</v>
      </c>
      <c r="I1970" s="71" t="s">
        <v>2443</v>
      </c>
    </row>
    <row r="1971" spans="1:9" ht="43.5" x14ac:dyDescent="0.35">
      <c r="A1971" s="195">
        <v>14</v>
      </c>
      <c r="B1971" s="195">
        <v>12</v>
      </c>
      <c r="C1971" s="195" t="s">
        <v>2478</v>
      </c>
      <c r="D1971" s="64">
        <v>14995</v>
      </c>
      <c r="E1971" s="195" t="s">
        <v>366</v>
      </c>
      <c r="F1971" s="71" t="s">
        <v>2451</v>
      </c>
      <c r="G1971" s="71" t="s">
        <v>2453</v>
      </c>
      <c r="H1971" s="71" t="s">
        <v>2479</v>
      </c>
      <c r="I1971" s="71" t="s">
        <v>2443</v>
      </c>
    </row>
    <row r="1972" spans="1:9" ht="43.5" x14ac:dyDescent="0.35">
      <c r="A1972" s="195">
        <v>14</v>
      </c>
      <c r="B1972" s="195">
        <v>13</v>
      </c>
      <c r="C1972" s="195" t="s">
        <v>2482</v>
      </c>
      <c r="D1972" s="195">
        <v>160</v>
      </c>
      <c r="E1972" s="195" t="s">
        <v>373</v>
      </c>
      <c r="F1972" s="71" t="s">
        <v>2448</v>
      </c>
      <c r="G1972" s="71" t="s">
        <v>2453</v>
      </c>
      <c r="H1972" s="71" t="s">
        <v>2481</v>
      </c>
      <c r="I1972" s="71" t="s">
        <v>2460</v>
      </c>
    </row>
    <row r="1973" spans="1:9" ht="43.5" x14ac:dyDescent="0.35">
      <c r="A1973" s="195">
        <v>14</v>
      </c>
      <c r="B1973" s="195">
        <v>13</v>
      </c>
      <c r="C1973" s="195" t="s">
        <v>2483</v>
      </c>
      <c r="D1973" s="64">
        <v>7250</v>
      </c>
      <c r="E1973" s="195" t="s">
        <v>373</v>
      </c>
      <c r="F1973" s="71" t="s">
        <v>2451</v>
      </c>
      <c r="G1973" s="71" t="s">
        <v>2453</v>
      </c>
      <c r="H1973" s="71" t="s">
        <v>2479</v>
      </c>
      <c r="I1973" s="71" t="s">
        <v>2460</v>
      </c>
    </row>
    <row r="1974" spans="1:9" ht="43.5" x14ac:dyDescent="0.35">
      <c r="A1974" s="195">
        <v>14</v>
      </c>
      <c r="B1974" s="195">
        <v>14</v>
      </c>
      <c r="C1974" s="195" t="s">
        <v>2485</v>
      </c>
      <c r="D1974" s="195">
        <v>700</v>
      </c>
      <c r="E1974" s="195" t="s">
        <v>373</v>
      </c>
      <c r="F1974" s="71" t="s">
        <v>2448</v>
      </c>
      <c r="G1974" s="71" t="s">
        <v>2453</v>
      </c>
      <c r="H1974" s="71" t="s">
        <v>2481</v>
      </c>
      <c r="I1974" s="71" t="s">
        <v>2463</v>
      </c>
    </row>
    <row r="1975" spans="1:9" ht="43.5" x14ac:dyDescent="0.35">
      <c r="A1975" s="195">
        <v>14</v>
      </c>
      <c r="B1975" s="195">
        <v>14</v>
      </c>
      <c r="C1975" s="195" t="s">
        <v>2484</v>
      </c>
      <c r="D1975" s="64">
        <v>4960</v>
      </c>
      <c r="E1975" s="195" t="s">
        <v>373</v>
      </c>
      <c r="F1975" s="71" t="s">
        <v>2451</v>
      </c>
      <c r="G1975" s="71" t="s">
        <v>2453</v>
      </c>
      <c r="H1975" s="71" t="s">
        <v>2479</v>
      </c>
      <c r="I1975" s="71" t="s">
        <v>2463</v>
      </c>
    </row>
    <row r="1976" spans="1:9" ht="43.5" x14ac:dyDescent="0.35">
      <c r="A1976" s="195">
        <v>14</v>
      </c>
      <c r="B1976" s="195">
        <v>15</v>
      </c>
      <c r="C1976" s="195" t="s">
        <v>2486</v>
      </c>
      <c r="D1976" s="64">
        <v>1020</v>
      </c>
      <c r="E1976" s="195" t="s">
        <v>373</v>
      </c>
      <c r="F1976" s="71" t="s">
        <v>2448</v>
      </c>
      <c r="G1976" s="71" t="s">
        <v>2453</v>
      </c>
      <c r="H1976" s="71" t="s">
        <v>2481</v>
      </c>
      <c r="I1976" s="71" t="s">
        <v>2466</v>
      </c>
    </row>
    <row r="1977" spans="1:9" ht="43.5" x14ac:dyDescent="0.35">
      <c r="A1977" s="195">
        <v>14</v>
      </c>
      <c r="B1977" s="195">
        <v>15</v>
      </c>
      <c r="C1977" s="195" t="s">
        <v>2487</v>
      </c>
      <c r="D1977" s="64">
        <v>2790</v>
      </c>
      <c r="E1977" s="195" t="s">
        <v>373</v>
      </c>
      <c r="F1977" s="71" t="s">
        <v>2451</v>
      </c>
      <c r="G1977" s="71" t="s">
        <v>2453</v>
      </c>
      <c r="H1977" s="71" t="s">
        <v>2479</v>
      </c>
      <c r="I1977" s="71" t="s">
        <v>2466</v>
      </c>
    </row>
    <row r="1978" spans="1:9" ht="43.5" x14ac:dyDescent="0.35">
      <c r="A1978" s="195">
        <v>14</v>
      </c>
      <c r="B1978" s="195">
        <v>16</v>
      </c>
      <c r="C1978" s="195" t="s">
        <v>2488</v>
      </c>
      <c r="D1978" s="64">
        <v>4880</v>
      </c>
      <c r="E1978" s="195" t="s">
        <v>366</v>
      </c>
      <c r="F1978" s="71" t="s">
        <v>2448</v>
      </c>
      <c r="G1978" s="71" t="s">
        <v>2453</v>
      </c>
      <c r="H1978" s="71" t="s">
        <v>2489</v>
      </c>
      <c r="I1978" s="71" t="s">
        <v>2443</v>
      </c>
    </row>
    <row r="1979" spans="1:9" ht="43.5" x14ac:dyDescent="0.35">
      <c r="A1979" s="195">
        <v>14</v>
      </c>
      <c r="B1979" s="195">
        <v>16</v>
      </c>
      <c r="C1979" s="195" t="s">
        <v>2490</v>
      </c>
      <c r="D1979" s="64">
        <v>7500</v>
      </c>
      <c r="E1979" s="195" t="s">
        <v>366</v>
      </c>
      <c r="F1979" s="71" t="s">
        <v>2451</v>
      </c>
      <c r="G1979" s="71" t="s">
        <v>2453</v>
      </c>
      <c r="H1979" s="71" t="s">
        <v>2491</v>
      </c>
      <c r="I1979" s="71" t="s">
        <v>2443</v>
      </c>
    </row>
    <row r="1980" spans="1:9" ht="43.5" x14ac:dyDescent="0.35">
      <c r="A1980" s="195">
        <v>14</v>
      </c>
      <c r="B1980" s="195">
        <v>17</v>
      </c>
      <c r="C1980" s="195" t="s">
        <v>2492</v>
      </c>
      <c r="D1980" s="195">
        <v>675</v>
      </c>
      <c r="E1980" s="195" t="s">
        <v>373</v>
      </c>
      <c r="F1980" s="71" t="s">
        <v>2448</v>
      </c>
      <c r="G1980" s="71" t="s">
        <v>2453</v>
      </c>
      <c r="H1980" s="71" t="s">
        <v>2489</v>
      </c>
      <c r="I1980" s="71" t="s">
        <v>2460</v>
      </c>
    </row>
    <row r="1981" spans="1:9" ht="43.5" x14ac:dyDescent="0.35">
      <c r="A1981" s="195">
        <v>14</v>
      </c>
      <c r="B1981" s="195">
        <v>17</v>
      </c>
      <c r="C1981" s="195" t="s">
        <v>2493</v>
      </c>
      <c r="D1981" s="64">
        <v>3605</v>
      </c>
      <c r="E1981" s="195" t="s">
        <v>373</v>
      </c>
      <c r="F1981" s="71" t="s">
        <v>2451</v>
      </c>
      <c r="G1981" s="71" t="s">
        <v>2453</v>
      </c>
      <c r="H1981" s="71" t="s">
        <v>2491</v>
      </c>
      <c r="I1981" s="71" t="s">
        <v>2460</v>
      </c>
    </row>
    <row r="1982" spans="1:9" ht="43.5" x14ac:dyDescent="0.35">
      <c r="A1982" s="195">
        <v>14</v>
      </c>
      <c r="B1982" s="195">
        <v>18</v>
      </c>
      <c r="C1982" s="195" t="s">
        <v>2494</v>
      </c>
      <c r="D1982" s="64">
        <v>1480</v>
      </c>
      <c r="E1982" s="195" t="s">
        <v>373</v>
      </c>
      <c r="F1982" s="71" t="s">
        <v>2448</v>
      </c>
      <c r="G1982" s="71" t="s">
        <v>2453</v>
      </c>
      <c r="H1982" s="71" t="s">
        <v>2489</v>
      </c>
      <c r="I1982" s="71" t="s">
        <v>2463</v>
      </c>
    </row>
    <row r="1983" spans="1:9" ht="43.5" x14ac:dyDescent="0.35">
      <c r="A1983" s="195">
        <v>14</v>
      </c>
      <c r="B1983" s="195">
        <v>18</v>
      </c>
      <c r="C1983" s="195" t="s">
        <v>2495</v>
      </c>
      <c r="D1983" s="64">
        <v>2885</v>
      </c>
      <c r="E1983" s="195" t="s">
        <v>373</v>
      </c>
      <c r="F1983" s="71" t="s">
        <v>2451</v>
      </c>
      <c r="G1983" s="71" t="s">
        <v>2453</v>
      </c>
      <c r="H1983" s="71" t="s">
        <v>2491</v>
      </c>
      <c r="I1983" s="71" t="s">
        <v>2463</v>
      </c>
    </row>
    <row r="1984" spans="1:9" ht="43.5" x14ac:dyDescent="0.35">
      <c r="A1984" s="195">
        <v>14</v>
      </c>
      <c r="B1984" s="195">
        <v>19</v>
      </c>
      <c r="C1984" s="195" t="s">
        <v>2496</v>
      </c>
      <c r="D1984" s="64">
        <v>2725</v>
      </c>
      <c r="E1984" s="195" t="s">
        <v>373</v>
      </c>
      <c r="F1984" s="71" t="s">
        <v>2448</v>
      </c>
      <c r="G1984" s="71" t="s">
        <v>2453</v>
      </c>
      <c r="H1984" s="71" t="s">
        <v>2489</v>
      </c>
      <c r="I1984" s="71" t="s">
        <v>2466</v>
      </c>
    </row>
    <row r="1985" spans="1:10" ht="43.5" x14ac:dyDescent="0.35">
      <c r="A1985" s="195">
        <v>14</v>
      </c>
      <c r="B1985" s="195">
        <v>19</v>
      </c>
      <c r="C1985" s="195" t="s">
        <v>2497</v>
      </c>
      <c r="D1985" s="64">
        <v>1005</v>
      </c>
      <c r="E1985" s="195" t="s">
        <v>373</v>
      </c>
      <c r="F1985" s="71" t="s">
        <v>2451</v>
      </c>
      <c r="G1985" s="71" t="s">
        <v>2453</v>
      </c>
      <c r="H1985" s="71" t="s">
        <v>2491</v>
      </c>
      <c r="I1985" s="71" t="s">
        <v>2466</v>
      </c>
    </row>
    <row r="1986" spans="1:10" ht="29" x14ac:dyDescent="0.35">
      <c r="A1986" s="195">
        <v>15</v>
      </c>
      <c r="B1986" s="195">
        <v>1</v>
      </c>
      <c r="C1986" s="195" t="s">
        <v>2500</v>
      </c>
      <c r="D1986" s="64">
        <v>745880</v>
      </c>
      <c r="E1986" s="195" t="s">
        <v>26</v>
      </c>
      <c r="F1986" s="71" t="s">
        <v>2501</v>
      </c>
      <c r="G1986" s="71" t="s">
        <v>1653</v>
      </c>
      <c r="H1986" s="71" t="s">
        <v>2502</v>
      </c>
      <c r="I1986" s="71" t="s">
        <v>363</v>
      </c>
      <c r="J1986" s="71" t="s">
        <v>2443</v>
      </c>
    </row>
    <row r="1987" spans="1:10" ht="29" x14ac:dyDescent="0.35">
      <c r="A1987" s="195">
        <v>15</v>
      </c>
      <c r="B1987" s="195">
        <v>1</v>
      </c>
      <c r="C1987" s="195" t="s">
        <v>2503</v>
      </c>
      <c r="D1987" s="64">
        <v>359285</v>
      </c>
      <c r="E1987" s="195" t="s">
        <v>26</v>
      </c>
      <c r="F1987" s="71" t="s">
        <v>2504</v>
      </c>
      <c r="G1987" s="71" t="s">
        <v>1653</v>
      </c>
      <c r="H1987" s="71" t="s">
        <v>2502</v>
      </c>
      <c r="I1987" s="71" t="s">
        <v>363</v>
      </c>
      <c r="J1987" s="71" t="s">
        <v>2443</v>
      </c>
    </row>
    <row r="1988" spans="1:10" ht="29" x14ac:dyDescent="0.35">
      <c r="A1988" s="195">
        <v>15</v>
      </c>
      <c r="B1988" s="195">
        <v>1</v>
      </c>
      <c r="C1988" s="195" t="s">
        <v>2498</v>
      </c>
      <c r="D1988" s="64">
        <v>846440</v>
      </c>
      <c r="E1988" s="195" t="s">
        <v>26</v>
      </c>
      <c r="F1988" s="71" t="s">
        <v>2499</v>
      </c>
      <c r="G1988" s="71" t="s">
        <v>1653</v>
      </c>
      <c r="H1988" s="71" t="s">
        <v>2446</v>
      </c>
      <c r="I1988" s="71" t="s">
        <v>363</v>
      </c>
      <c r="J1988" s="71" t="s">
        <v>2443</v>
      </c>
    </row>
    <row r="1989" spans="1:10" ht="29" x14ac:dyDescent="0.35">
      <c r="A1989" s="195">
        <v>15</v>
      </c>
      <c r="B1989" s="195">
        <v>2</v>
      </c>
      <c r="C1989" s="195" t="s">
        <v>2507</v>
      </c>
      <c r="D1989" s="64">
        <v>2020</v>
      </c>
      <c r="E1989" s="195" t="s">
        <v>373</v>
      </c>
      <c r="F1989" s="71" t="s">
        <v>2508</v>
      </c>
      <c r="G1989" s="71" t="s">
        <v>2506</v>
      </c>
      <c r="H1989" s="71" t="s">
        <v>2502</v>
      </c>
      <c r="I1989" s="71" t="s">
        <v>363</v>
      </c>
      <c r="J1989" s="71" t="s">
        <v>2443</v>
      </c>
    </row>
    <row r="1990" spans="1:10" ht="29" x14ac:dyDescent="0.35">
      <c r="A1990" s="195">
        <v>15</v>
      </c>
      <c r="B1990" s="195">
        <v>2</v>
      </c>
      <c r="C1990" s="195" t="s">
        <v>2509</v>
      </c>
      <c r="D1990" s="64">
        <v>1940</v>
      </c>
      <c r="E1990" s="195" t="s">
        <v>373</v>
      </c>
      <c r="F1990" s="71" t="s">
        <v>2510</v>
      </c>
      <c r="G1990" s="71" t="s">
        <v>2506</v>
      </c>
      <c r="H1990" s="71" t="s">
        <v>2502</v>
      </c>
      <c r="I1990" s="71" t="s">
        <v>363</v>
      </c>
      <c r="J1990" s="71" t="s">
        <v>2443</v>
      </c>
    </row>
    <row r="1991" spans="1:10" ht="29" x14ac:dyDescent="0.35">
      <c r="A1991" s="195">
        <v>15</v>
      </c>
      <c r="B1991" s="195">
        <v>2</v>
      </c>
      <c r="C1991" s="195" t="s">
        <v>2505</v>
      </c>
      <c r="D1991" s="64">
        <v>11885</v>
      </c>
      <c r="E1991" s="195" t="s">
        <v>373</v>
      </c>
      <c r="F1991" s="71" t="s">
        <v>508</v>
      </c>
      <c r="G1991" s="71" t="s">
        <v>2506</v>
      </c>
      <c r="H1991" s="71" t="s">
        <v>2446</v>
      </c>
      <c r="I1991" s="71" t="s">
        <v>363</v>
      </c>
      <c r="J1991" s="71" t="s">
        <v>2443</v>
      </c>
    </row>
    <row r="1992" spans="1:10" ht="29" x14ac:dyDescent="0.35">
      <c r="A1992" s="195">
        <v>15</v>
      </c>
      <c r="B1992" s="195">
        <v>3</v>
      </c>
      <c r="C1992" s="195" t="s">
        <v>2511</v>
      </c>
      <c r="D1992" s="64">
        <v>743860</v>
      </c>
      <c r="E1992" s="195" t="s">
        <v>366</v>
      </c>
      <c r="F1992" s="71" t="s">
        <v>2508</v>
      </c>
      <c r="G1992" s="71" t="s">
        <v>2512</v>
      </c>
      <c r="H1992" s="71" t="s">
        <v>2502</v>
      </c>
      <c r="I1992" s="71" t="s">
        <v>363</v>
      </c>
      <c r="J1992" s="71" t="s">
        <v>2443</v>
      </c>
    </row>
    <row r="1993" spans="1:10" ht="29" x14ac:dyDescent="0.35">
      <c r="A1993" s="195">
        <v>15</v>
      </c>
      <c r="B1993" s="195">
        <v>3</v>
      </c>
      <c r="C1993" s="195" t="s">
        <v>2513</v>
      </c>
      <c r="D1993" s="64">
        <v>357345</v>
      </c>
      <c r="E1993" s="195" t="s">
        <v>366</v>
      </c>
      <c r="F1993" s="71" t="s">
        <v>2510</v>
      </c>
      <c r="G1993" s="71" t="s">
        <v>2512</v>
      </c>
      <c r="H1993" s="71" t="s">
        <v>2502</v>
      </c>
      <c r="I1993" s="71" t="s">
        <v>363</v>
      </c>
      <c r="J1993" s="71" t="s">
        <v>2443</v>
      </c>
    </row>
    <row r="1994" spans="1:10" ht="29" x14ac:dyDescent="0.35">
      <c r="A1994" s="195">
        <v>15</v>
      </c>
      <c r="B1994" s="195">
        <v>3</v>
      </c>
      <c r="C1994" s="195" t="s">
        <v>2514</v>
      </c>
      <c r="D1994" s="64">
        <v>834555</v>
      </c>
      <c r="E1994" s="195" t="s">
        <v>366</v>
      </c>
      <c r="F1994" s="71" t="s">
        <v>508</v>
      </c>
      <c r="G1994" s="71" t="s">
        <v>2512</v>
      </c>
      <c r="H1994" s="71" t="s">
        <v>2446</v>
      </c>
      <c r="I1994" s="71" t="s">
        <v>363</v>
      </c>
      <c r="J1994" s="71" t="s">
        <v>2443</v>
      </c>
    </row>
    <row r="1995" spans="1:10" ht="29" x14ac:dyDescent="0.35">
      <c r="A1995" s="195">
        <v>15</v>
      </c>
      <c r="B1995" s="195">
        <v>4</v>
      </c>
      <c r="C1995" s="195" t="s">
        <v>2516</v>
      </c>
      <c r="D1995" s="64">
        <v>195770</v>
      </c>
      <c r="E1995" s="195" t="s">
        <v>366</v>
      </c>
      <c r="F1995" s="71" t="s">
        <v>2508</v>
      </c>
      <c r="G1995" s="71" t="s">
        <v>2512</v>
      </c>
      <c r="H1995" s="71" t="s">
        <v>2517</v>
      </c>
      <c r="I1995" s="71" t="s">
        <v>363</v>
      </c>
      <c r="J1995" s="71" t="s">
        <v>2443</v>
      </c>
    </row>
    <row r="1996" spans="1:10" ht="29" x14ac:dyDescent="0.35">
      <c r="A1996" s="195">
        <v>15</v>
      </c>
      <c r="B1996" s="195">
        <v>4</v>
      </c>
      <c r="C1996" s="195" t="s">
        <v>2518</v>
      </c>
      <c r="D1996" s="64">
        <v>110090</v>
      </c>
      <c r="E1996" s="195" t="s">
        <v>366</v>
      </c>
      <c r="F1996" s="71" t="s">
        <v>2510</v>
      </c>
      <c r="G1996" s="71" t="s">
        <v>2512</v>
      </c>
      <c r="H1996" s="71" t="s">
        <v>2517</v>
      </c>
      <c r="I1996" s="71" t="s">
        <v>363</v>
      </c>
      <c r="J1996" s="71" t="s">
        <v>2443</v>
      </c>
    </row>
    <row r="1997" spans="1:10" ht="29" x14ac:dyDescent="0.35">
      <c r="A1997" s="195">
        <v>15</v>
      </c>
      <c r="B1997" s="195">
        <v>4</v>
      </c>
      <c r="C1997" s="195" t="s">
        <v>2515</v>
      </c>
      <c r="D1997" s="64">
        <v>105095</v>
      </c>
      <c r="E1997" s="195" t="s">
        <v>366</v>
      </c>
      <c r="F1997" s="71" t="s">
        <v>508</v>
      </c>
      <c r="G1997" s="71" t="s">
        <v>2512</v>
      </c>
      <c r="H1997" s="71" t="s">
        <v>2456</v>
      </c>
      <c r="I1997" s="71" t="s">
        <v>363</v>
      </c>
      <c r="J1997" s="71" t="s">
        <v>2443</v>
      </c>
    </row>
    <row r="1998" spans="1:10" ht="43.5" x14ac:dyDescent="0.35">
      <c r="A1998" s="195">
        <v>15</v>
      </c>
      <c r="B1998" s="195">
        <v>5</v>
      </c>
      <c r="C1998" s="195" t="s">
        <v>2520</v>
      </c>
      <c r="D1998" s="64">
        <v>23225</v>
      </c>
      <c r="E1998" s="195" t="s">
        <v>366</v>
      </c>
      <c r="F1998" s="71" t="s">
        <v>2508</v>
      </c>
      <c r="G1998" s="71" t="s">
        <v>2512</v>
      </c>
      <c r="H1998" s="71" t="s">
        <v>2517</v>
      </c>
      <c r="I1998" s="71" t="s">
        <v>1377</v>
      </c>
      <c r="J1998" s="71" t="s">
        <v>2443</v>
      </c>
    </row>
    <row r="1999" spans="1:10" ht="43.5" x14ac:dyDescent="0.35">
      <c r="A1999" s="195">
        <v>15</v>
      </c>
      <c r="B1999" s="195">
        <v>5</v>
      </c>
      <c r="C1999" s="195" t="s">
        <v>2521</v>
      </c>
      <c r="D1999" s="64">
        <v>24130</v>
      </c>
      <c r="E1999" s="195" t="s">
        <v>366</v>
      </c>
      <c r="F1999" s="71" t="s">
        <v>2510</v>
      </c>
      <c r="G1999" s="71" t="s">
        <v>2512</v>
      </c>
      <c r="H1999" s="71" t="s">
        <v>2517</v>
      </c>
      <c r="I1999" s="71" t="s">
        <v>1377</v>
      </c>
      <c r="J1999" s="71" t="s">
        <v>2443</v>
      </c>
    </row>
    <row r="2000" spans="1:10" ht="29" x14ac:dyDescent="0.35">
      <c r="A2000" s="195">
        <v>15</v>
      </c>
      <c r="B2000" s="195">
        <v>5</v>
      </c>
      <c r="C2000" s="195" t="s">
        <v>2519</v>
      </c>
      <c r="D2000" s="64">
        <v>69340</v>
      </c>
      <c r="E2000" s="195" t="s">
        <v>366</v>
      </c>
      <c r="F2000" s="71" t="s">
        <v>508</v>
      </c>
      <c r="G2000" s="71" t="s">
        <v>2512</v>
      </c>
      <c r="H2000" s="71" t="s">
        <v>2456</v>
      </c>
      <c r="I2000" s="71" t="s">
        <v>371</v>
      </c>
      <c r="J2000" s="71" t="s">
        <v>2443</v>
      </c>
    </row>
    <row r="2001" spans="1:10" ht="43.5" x14ac:dyDescent="0.35">
      <c r="A2001" s="195">
        <v>15</v>
      </c>
      <c r="B2001" s="195">
        <v>6</v>
      </c>
      <c r="C2001" s="195" t="s">
        <v>2522</v>
      </c>
      <c r="D2001" s="64">
        <v>1645</v>
      </c>
      <c r="E2001" s="195" t="s">
        <v>373</v>
      </c>
      <c r="F2001" s="71" t="s">
        <v>2508</v>
      </c>
      <c r="G2001" s="71" t="s">
        <v>2512</v>
      </c>
      <c r="H2001" s="71" t="s">
        <v>2517</v>
      </c>
      <c r="I2001" s="71" t="s">
        <v>1377</v>
      </c>
      <c r="J2001" s="71" t="s">
        <v>2460</v>
      </c>
    </row>
    <row r="2002" spans="1:10" ht="43.5" x14ac:dyDescent="0.35">
      <c r="A2002" s="195">
        <v>15</v>
      </c>
      <c r="B2002" s="195">
        <v>6</v>
      </c>
      <c r="C2002" s="195" t="s">
        <v>2523</v>
      </c>
      <c r="D2002" s="64">
        <v>2325</v>
      </c>
      <c r="E2002" s="195" t="s">
        <v>373</v>
      </c>
      <c r="F2002" s="71" t="s">
        <v>2510</v>
      </c>
      <c r="G2002" s="71" t="s">
        <v>2512</v>
      </c>
      <c r="H2002" s="71" t="s">
        <v>2517</v>
      </c>
      <c r="I2002" s="71" t="s">
        <v>1377</v>
      </c>
      <c r="J2002" s="71" t="s">
        <v>2460</v>
      </c>
    </row>
    <row r="2003" spans="1:10" ht="29" x14ac:dyDescent="0.35">
      <c r="A2003" s="195">
        <v>15</v>
      </c>
      <c r="B2003" s="195">
        <v>6</v>
      </c>
      <c r="C2003" s="195" t="s">
        <v>2524</v>
      </c>
      <c r="D2003" s="64">
        <v>34120</v>
      </c>
      <c r="E2003" s="195" t="s">
        <v>373</v>
      </c>
      <c r="F2003" s="71" t="s">
        <v>508</v>
      </c>
      <c r="G2003" s="71" t="s">
        <v>2512</v>
      </c>
      <c r="H2003" s="71" t="s">
        <v>2456</v>
      </c>
      <c r="I2003" s="71" t="s">
        <v>371</v>
      </c>
      <c r="J2003" s="71" t="s">
        <v>2460</v>
      </c>
    </row>
    <row r="2004" spans="1:10" ht="43.5" x14ac:dyDescent="0.35">
      <c r="A2004" s="195">
        <v>15</v>
      </c>
      <c r="B2004" s="195">
        <v>7</v>
      </c>
      <c r="C2004" s="195" t="s">
        <v>2525</v>
      </c>
      <c r="D2004" s="64">
        <v>7960</v>
      </c>
      <c r="E2004" s="195" t="s">
        <v>373</v>
      </c>
      <c r="F2004" s="71" t="s">
        <v>2508</v>
      </c>
      <c r="G2004" s="71" t="s">
        <v>2512</v>
      </c>
      <c r="H2004" s="71" t="s">
        <v>2517</v>
      </c>
      <c r="I2004" s="71" t="s">
        <v>1377</v>
      </c>
      <c r="J2004" s="71" t="s">
        <v>2463</v>
      </c>
    </row>
    <row r="2005" spans="1:10" ht="43.5" x14ac:dyDescent="0.35">
      <c r="A2005" s="195">
        <v>15</v>
      </c>
      <c r="B2005" s="195">
        <v>7</v>
      </c>
      <c r="C2005" s="195" t="s">
        <v>2527</v>
      </c>
      <c r="D2005" s="64">
        <v>9035</v>
      </c>
      <c r="E2005" s="195" t="s">
        <v>373</v>
      </c>
      <c r="F2005" s="71" t="s">
        <v>2510</v>
      </c>
      <c r="G2005" s="71" t="s">
        <v>2512</v>
      </c>
      <c r="H2005" s="71" t="s">
        <v>2517</v>
      </c>
      <c r="I2005" s="71" t="s">
        <v>1377</v>
      </c>
      <c r="J2005" s="71" t="s">
        <v>2463</v>
      </c>
    </row>
    <row r="2006" spans="1:10" ht="29" x14ac:dyDescent="0.35">
      <c r="A2006" s="195">
        <v>15</v>
      </c>
      <c r="B2006" s="195">
        <v>7</v>
      </c>
      <c r="C2006" s="195" t="s">
        <v>2526</v>
      </c>
      <c r="D2006" s="64">
        <v>18915</v>
      </c>
      <c r="E2006" s="195" t="s">
        <v>373</v>
      </c>
      <c r="F2006" s="71" t="s">
        <v>508</v>
      </c>
      <c r="G2006" s="71" t="s">
        <v>2512</v>
      </c>
      <c r="H2006" s="71" t="s">
        <v>2456</v>
      </c>
      <c r="I2006" s="71" t="s">
        <v>371</v>
      </c>
      <c r="J2006" s="71" t="s">
        <v>2463</v>
      </c>
    </row>
    <row r="2007" spans="1:10" ht="43.5" x14ac:dyDescent="0.35">
      <c r="A2007" s="195">
        <v>15</v>
      </c>
      <c r="B2007" s="195">
        <v>8</v>
      </c>
      <c r="C2007" s="195" t="s">
        <v>2528</v>
      </c>
      <c r="D2007" s="64">
        <v>13615</v>
      </c>
      <c r="E2007" s="195" t="s">
        <v>373</v>
      </c>
      <c r="F2007" s="71" t="s">
        <v>2508</v>
      </c>
      <c r="G2007" s="71" t="s">
        <v>2512</v>
      </c>
      <c r="H2007" s="71" t="s">
        <v>2517</v>
      </c>
      <c r="I2007" s="71" t="s">
        <v>1377</v>
      </c>
      <c r="J2007" s="71" t="s">
        <v>2466</v>
      </c>
    </row>
    <row r="2008" spans="1:10" ht="43.5" x14ac:dyDescent="0.35">
      <c r="A2008" s="195">
        <v>15</v>
      </c>
      <c r="B2008" s="195">
        <v>8</v>
      </c>
      <c r="C2008" s="195" t="s">
        <v>2529</v>
      </c>
      <c r="D2008" s="64">
        <v>12770</v>
      </c>
      <c r="E2008" s="195" t="s">
        <v>373</v>
      </c>
      <c r="F2008" s="71" t="s">
        <v>2510</v>
      </c>
      <c r="G2008" s="71" t="s">
        <v>2512</v>
      </c>
      <c r="H2008" s="71" t="s">
        <v>2517</v>
      </c>
      <c r="I2008" s="71" t="s">
        <v>1377</v>
      </c>
      <c r="J2008" s="71" t="s">
        <v>2466</v>
      </c>
    </row>
    <row r="2009" spans="1:10" ht="29" x14ac:dyDescent="0.35">
      <c r="A2009" s="195">
        <v>15</v>
      </c>
      <c r="B2009" s="195">
        <v>8</v>
      </c>
      <c r="C2009" s="195" t="s">
        <v>2530</v>
      </c>
      <c r="D2009" s="64">
        <v>16305</v>
      </c>
      <c r="E2009" s="195" t="s">
        <v>373</v>
      </c>
      <c r="F2009" s="71" t="s">
        <v>508</v>
      </c>
      <c r="G2009" s="71" t="s">
        <v>2512</v>
      </c>
      <c r="H2009" s="71" t="s">
        <v>2456</v>
      </c>
      <c r="I2009" s="71" t="s">
        <v>371</v>
      </c>
      <c r="J2009" s="71" t="s">
        <v>2466</v>
      </c>
    </row>
    <row r="2010" spans="1:10" ht="43.5" x14ac:dyDescent="0.35">
      <c r="A2010" s="195">
        <v>15</v>
      </c>
      <c r="B2010" s="195">
        <v>9</v>
      </c>
      <c r="C2010" s="195" t="s">
        <v>2533</v>
      </c>
      <c r="D2010" s="64">
        <v>26975</v>
      </c>
      <c r="E2010" s="195" t="s">
        <v>366</v>
      </c>
      <c r="F2010" s="71" t="s">
        <v>2508</v>
      </c>
      <c r="G2010" s="71" t="s">
        <v>2512</v>
      </c>
      <c r="H2010" s="71" t="s">
        <v>2517</v>
      </c>
      <c r="I2010" s="71" t="s">
        <v>1413</v>
      </c>
      <c r="J2010" s="71" t="s">
        <v>2443</v>
      </c>
    </row>
    <row r="2011" spans="1:10" ht="43.5" x14ac:dyDescent="0.35">
      <c r="A2011" s="195">
        <v>15</v>
      </c>
      <c r="B2011" s="195">
        <v>9</v>
      </c>
      <c r="C2011" s="195" t="s">
        <v>2532</v>
      </c>
      <c r="D2011" s="64">
        <v>22465</v>
      </c>
      <c r="E2011" s="195" t="s">
        <v>366</v>
      </c>
      <c r="F2011" s="71" t="s">
        <v>2510</v>
      </c>
      <c r="G2011" s="71" t="s">
        <v>2512</v>
      </c>
      <c r="H2011" s="71" t="s">
        <v>2517</v>
      </c>
      <c r="I2011" s="71" t="s">
        <v>1413</v>
      </c>
      <c r="J2011" s="71" t="s">
        <v>2443</v>
      </c>
    </row>
    <row r="2012" spans="1:10" ht="43.5" x14ac:dyDescent="0.35">
      <c r="A2012" s="195">
        <v>15</v>
      </c>
      <c r="B2012" s="195">
        <v>9</v>
      </c>
      <c r="C2012" s="195" t="s">
        <v>2531</v>
      </c>
      <c r="D2012" s="64">
        <v>15225</v>
      </c>
      <c r="E2012" s="195" t="s">
        <v>366</v>
      </c>
      <c r="F2012" s="71" t="s">
        <v>508</v>
      </c>
      <c r="G2012" s="71" t="s">
        <v>2512</v>
      </c>
      <c r="H2012" s="71" t="s">
        <v>2456</v>
      </c>
      <c r="I2012" s="71" t="s">
        <v>388</v>
      </c>
      <c r="J2012" s="71" t="s">
        <v>2443</v>
      </c>
    </row>
    <row r="2013" spans="1:10" ht="43.5" x14ac:dyDescent="0.35">
      <c r="A2013" s="195">
        <v>15</v>
      </c>
      <c r="B2013" s="195">
        <v>10</v>
      </c>
      <c r="C2013" s="195" t="s">
        <v>2534</v>
      </c>
      <c r="D2013" s="64">
        <v>1535</v>
      </c>
      <c r="E2013" s="195" t="s">
        <v>373</v>
      </c>
      <c r="F2013" s="71" t="s">
        <v>2508</v>
      </c>
      <c r="G2013" s="71" t="s">
        <v>2512</v>
      </c>
      <c r="H2013" s="71" t="s">
        <v>2517</v>
      </c>
      <c r="I2013" s="71" t="s">
        <v>1413</v>
      </c>
      <c r="J2013" s="71" t="s">
        <v>2460</v>
      </c>
    </row>
    <row r="2014" spans="1:10" ht="43.5" x14ac:dyDescent="0.35">
      <c r="A2014" s="195">
        <v>15</v>
      </c>
      <c r="B2014" s="195">
        <v>10</v>
      </c>
      <c r="C2014" s="195" t="s">
        <v>2535</v>
      </c>
      <c r="D2014" s="64">
        <v>1650</v>
      </c>
      <c r="E2014" s="195" t="s">
        <v>373</v>
      </c>
      <c r="F2014" s="71" t="s">
        <v>2510</v>
      </c>
      <c r="G2014" s="71" t="s">
        <v>2512</v>
      </c>
      <c r="H2014" s="71" t="s">
        <v>2517</v>
      </c>
      <c r="I2014" s="71" t="s">
        <v>1413</v>
      </c>
      <c r="J2014" s="71" t="s">
        <v>2460</v>
      </c>
    </row>
    <row r="2015" spans="1:10" ht="43.5" x14ac:dyDescent="0.35">
      <c r="A2015" s="195">
        <v>15</v>
      </c>
      <c r="B2015" s="195">
        <v>10</v>
      </c>
      <c r="C2015" s="195" t="s">
        <v>2536</v>
      </c>
      <c r="D2015" s="64">
        <v>5170</v>
      </c>
      <c r="E2015" s="195" t="s">
        <v>373</v>
      </c>
      <c r="F2015" s="71" t="s">
        <v>508</v>
      </c>
      <c r="G2015" s="71" t="s">
        <v>2512</v>
      </c>
      <c r="H2015" s="71" t="s">
        <v>2456</v>
      </c>
      <c r="I2015" s="71" t="s">
        <v>388</v>
      </c>
      <c r="J2015" s="71" t="s">
        <v>2460</v>
      </c>
    </row>
    <row r="2016" spans="1:10" ht="43.5" x14ac:dyDescent="0.35">
      <c r="A2016" s="195">
        <v>15</v>
      </c>
      <c r="B2016" s="195">
        <v>11</v>
      </c>
      <c r="C2016" s="195" t="s">
        <v>2539</v>
      </c>
      <c r="D2016" s="64">
        <v>8190</v>
      </c>
      <c r="E2016" s="195" t="s">
        <v>373</v>
      </c>
      <c r="F2016" s="71" t="s">
        <v>2508</v>
      </c>
      <c r="G2016" s="71" t="s">
        <v>2512</v>
      </c>
      <c r="H2016" s="71" t="s">
        <v>2517</v>
      </c>
      <c r="I2016" s="71" t="s">
        <v>1413</v>
      </c>
      <c r="J2016" s="71" t="s">
        <v>2463</v>
      </c>
    </row>
    <row r="2017" spans="1:10" ht="43.5" x14ac:dyDescent="0.35">
      <c r="A2017" s="195">
        <v>15</v>
      </c>
      <c r="B2017" s="195">
        <v>11</v>
      </c>
      <c r="C2017" s="195" t="s">
        <v>2538</v>
      </c>
      <c r="D2017" s="64">
        <v>8130</v>
      </c>
      <c r="E2017" s="195" t="s">
        <v>373</v>
      </c>
      <c r="F2017" s="71" t="s">
        <v>2510</v>
      </c>
      <c r="G2017" s="71" t="s">
        <v>2512</v>
      </c>
      <c r="H2017" s="71" t="s">
        <v>2517</v>
      </c>
      <c r="I2017" s="71" t="s">
        <v>1413</v>
      </c>
      <c r="J2017" s="71" t="s">
        <v>2463</v>
      </c>
    </row>
    <row r="2018" spans="1:10" ht="43.5" x14ac:dyDescent="0.35">
      <c r="A2018" s="195">
        <v>15</v>
      </c>
      <c r="B2018" s="195">
        <v>11</v>
      </c>
      <c r="C2018" s="195" t="s">
        <v>2537</v>
      </c>
      <c r="D2018" s="64">
        <v>5045</v>
      </c>
      <c r="E2018" s="195" t="s">
        <v>373</v>
      </c>
      <c r="F2018" s="71" t="s">
        <v>508</v>
      </c>
      <c r="G2018" s="71" t="s">
        <v>2512</v>
      </c>
      <c r="H2018" s="71" t="s">
        <v>2456</v>
      </c>
      <c r="I2018" s="71" t="s">
        <v>388</v>
      </c>
      <c r="J2018" s="71" t="s">
        <v>2463</v>
      </c>
    </row>
    <row r="2019" spans="1:10" ht="43.5" x14ac:dyDescent="0.35">
      <c r="A2019" s="195">
        <v>15</v>
      </c>
      <c r="B2019" s="195">
        <v>12</v>
      </c>
      <c r="C2019" s="195" t="s">
        <v>2542</v>
      </c>
      <c r="D2019" s="64">
        <v>17250</v>
      </c>
      <c r="E2019" s="195" t="s">
        <v>373</v>
      </c>
      <c r="F2019" s="71" t="s">
        <v>2508</v>
      </c>
      <c r="G2019" s="71" t="s">
        <v>2512</v>
      </c>
      <c r="H2019" s="71" t="s">
        <v>2517</v>
      </c>
      <c r="I2019" s="71" t="s">
        <v>1413</v>
      </c>
      <c r="J2019" s="71" t="s">
        <v>2466</v>
      </c>
    </row>
    <row r="2020" spans="1:10" ht="43.5" x14ac:dyDescent="0.35">
      <c r="A2020" s="195">
        <v>15</v>
      </c>
      <c r="B2020" s="195">
        <v>12</v>
      </c>
      <c r="C2020" s="195" t="s">
        <v>2540</v>
      </c>
      <c r="D2020" s="64">
        <v>12685</v>
      </c>
      <c r="E2020" s="195" t="s">
        <v>373</v>
      </c>
      <c r="F2020" s="71" t="s">
        <v>2510</v>
      </c>
      <c r="G2020" s="71" t="s">
        <v>2512</v>
      </c>
      <c r="H2020" s="71" t="s">
        <v>2517</v>
      </c>
      <c r="I2020" s="71" t="s">
        <v>1413</v>
      </c>
      <c r="J2020" s="71" t="s">
        <v>2466</v>
      </c>
    </row>
    <row r="2021" spans="1:10" ht="43.5" x14ac:dyDescent="0.35">
      <c r="A2021" s="195">
        <v>15</v>
      </c>
      <c r="B2021" s="195">
        <v>12</v>
      </c>
      <c r="C2021" s="195" t="s">
        <v>2541</v>
      </c>
      <c r="D2021" s="64">
        <v>5010</v>
      </c>
      <c r="E2021" s="195" t="s">
        <v>373</v>
      </c>
      <c r="F2021" s="71" t="s">
        <v>508</v>
      </c>
      <c r="G2021" s="71" t="s">
        <v>2512</v>
      </c>
      <c r="H2021" s="71" t="s">
        <v>2456</v>
      </c>
      <c r="I2021" s="71" t="s">
        <v>388</v>
      </c>
      <c r="J2021" s="71" t="s">
        <v>2466</v>
      </c>
    </row>
    <row r="2022" spans="1:10" ht="43.5" x14ac:dyDescent="0.35">
      <c r="A2022" s="195">
        <v>15</v>
      </c>
      <c r="B2022" s="195">
        <v>13</v>
      </c>
      <c r="C2022" s="195" t="s">
        <v>2545</v>
      </c>
      <c r="D2022" s="64">
        <v>43240</v>
      </c>
      <c r="E2022" s="195" t="s">
        <v>366</v>
      </c>
      <c r="F2022" s="71" t="s">
        <v>2508</v>
      </c>
      <c r="G2022" s="71" t="s">
        <v>2512</v>
      </c>
      <c r="H2022" s="71" t="s">
        <v>2517</v>
      </c>
      <c r="I2022" s="71" t="s">
        <v>1440</v>
      </c>
      <c r="J2022" s="71" t="s">
        <v>2443</v>
      </c>
    </row>
    <row r="2023" spans="1:10" ht="43.5" x14ac:dyDescent="0.35">
      <c r="A2023" s="195">
        <v>15</v>
      </c>
      <c r="B2023" s="195">
        <v>13</v>
      </c>
      <c r="C2023" s="195" t="s">
        <v>2543</v>
      </c>
      <c r="D2023" s="64">
        <v>25255</v>
      </c>
      <c r="E2023" s="195" t="s">
        <v>366</v>
      </c>
      <c r="F2023" s="71" t="s">
        <v>2510</v>
      </c>
      <c r="G2023" s="71" t="s">
        <v>2512</v>
      </c>
      <c r="H2023" s="71" t="s">
        <v>2517</v>
      </c>
      <c r="I2023" s="71" t="s">
        <v>1440</v>
      </c>
      <c r="J2023" s="71" t="s">
        <v>2443</v>
      </c>
    </row>
    <row r="2024" spans="1:10" ht="43.5" x14ac:dyDescent="0.35">
      <c r="A2024" s="195">
        <v>15</v>
      </c>
      <c r="B2024" s="195">
        <v>13</v>
      </c>
      <c r="C2024" s="195" t="s">
        <v>2544</v>
      </c>
      <c r="D2024" s="64">
        <v>9150</v>
      </c>
      <c r="E2024" s="195" t="s">
        <v>366</v>
      </c>
      <c r="F2024" s="71" t="s">
        <v>508</v>
      </c>
      <c r="G2024" s="71" t="s">
        <v>2512</v>
      </c>
      <c r="H2024" s="71" t="s">
        <v>2456</v>
      </c>
      <c r="I2024" s="71" t="s">
        <v>397</v>
      </c>
      <c r="J2024" s="71" t="s">
        <v>2443</v>
      </c>
    </row>
    <row r="2025" spans="1:10" ht="43.5" x14ac:dyDescent="0.35">
      <c r="A2025" s="195">
        <v>15</v>
      </c>
      <c r="B2025" s="195">
        <v>14</v>
      </c>
      <c r="C2025" s="195" t="s">
        <v>2546</v>
      </c>
      <c r="D2025" s="64">
        <v>2830</v>
      </c>
      <c r="E2025" s="195" t="s">
        <v>373</v>
      </c>
      <c r="F2025" s="71" t="s">
        <v>2508</v>
      </c>
      <c r="G2025" s="71" t="s">
        <v>2512</v>
      </c>
      <c r="H2025" s="71" t="s">
        <v>2517</v>
      </c>
      <c r="I2025" s="71" t="s">
        <v>1440</v>
      </c>
      <c r="J2025" s="71" t="s">
        <v>2460</v>
      </c>
    </row>
    <row r="2026" spans="1:10" ht="43.5" x14ac:dyDescent="0.35">
      <c r="A2026" s="195">
        <v>15</v>
      </c>
      <c r="B2026" s="195">
        <v>14</v>
      </c>
      <c r="C2026" s="195" t="s">
        <v>2548</v>
      </c>
      <c r="D2026" s="64">
        <v>1840</v>
      </c>
      <c r="E2026" s="195" t="s">
        <v>373</v>
      </c>
      <c r="F2026" s="71" t="s">
        <v>2510</v>
      </c>
      <c r="G2026" s="71" t="s">
        <v>2512</v>
      </c>
      <c r="H2026" s="71" t="s">
        <v>2517</v>
      </c>
      <c r="I2026" s="71" t="s">
        <v>1440</v>
      </c>
      <c r="J2026" s="71" t="s">
        <v>2460</v>
      </c>
    </row>
    <row r="2027" spans="1:10" ht="43.5" x14ac:dyDescent="0.35">
      <c r="A2027" s="195">
        <v>15</v>
      </c>
      <c r="B2027" s="195">
        <v>14</v>
      </c>
      <c r="C2027" s="195" t="s">
        <v>2547</v>
      </c>
      <c r="D2027" s="64">
        <v>1730</v>
      </c>
      <c r="E2027" s="195" t="s">
        <v>373</v>
      </c>
      <c r="F2027" s="71" t="s">
        <v>508</v>
      </c>
      <c r="G2027" s="71" t="s">
        <v>2512</v>
      </c>
      <c r="H2027" s="71" t="s">
        <v>2456</v>
      </c>
      <c r="I2027" s="71" t="s">
        <v>397</v>
      </c>
      <c r="J2027" s="71" t="s">
        <v>2460</v>
      </c>
    </row>
    <row r="2028" spans="1:10" ht="43.5" x14ac:dyDescent="0.35">
      <c r="A2028" s="195">
        <v>15</v>
      </c>
      <c r="B2028" s="195">
        <v>15</v>
      </c>
      <c r="C2028" s="195" t="s">
        <v>2550</v>
      </c>
      <c r="D2028" s="64">
        <v>12220</v>
      </c>
      <c r="E2028" s="195" t="s">
        <v>373</v>
      </c>
      <c r="F2028" s="71" t="s">
        <v>2508</v>
      </c>
      <c r="G2028" s="71" t="s">
        <v>2512</v>
      </c>
      <c r="H2028" s="71" t="s">
        <v>2517</v>
      </c>
      <c r="I2028" s="71" t="s">
        <v>1440</v>
      </c>
      <c r="J2028" s="71" t="s">
        <v>2463</v>
      </c>
    </row>
    <row r="2029" spans="1:10" ht="43.5" x14ac:dyDescent="0.35">
      <c r="A2029" s="195">
        <v>15</v>
      </c>
      <c r="B2029" s="195">
        <v>15</v>
      </c>
      <c r="C2029" s="195" t="s">
        <v>2551</v>
      </c>
      <c r="D2029" s="64">
        <v>8660</v>
      </c>
      <c r="E2029" s="195" t="s">
        <v>373</v>
      </c>
      <c r="F2029" s="71" t="s">
        <v>2510</v>
      </c>
      <c r="G2029" s="71" t="s">
        <v>2512</v>
      </c>
      <c r="H2029" s="71" t="s">
        <v>2517</v>
      </c>
      <c r="I2029" s="71" t="s">
        <v>1440</v>
      </c>
      <c r="J2029" s="71" t="s">
        <v>2463</v>
      </c>
    </row>
    <row r="2030" spans="1:10" ht="43.5" x14ac:dyDescent="0.35">
      <c r="A2030" s="195">
        <v>15</v>
      </c>
      <c r="B2030" s="195">
        <v>15</v>
      </c>
      <c r="C2030" s="195" t="s">
        <v>2549</v>
      </c>
      <c r="D2030" s="64">
        <v>3745</v>
      </c>
      <c r="E2030" s="195" t="s">
        <v>373</v>
      </c>
      <c r="F2030" s="71" t="s">
        <v>508</v>
      </c>
      <c r="G2030" s="71" t="s">
        <v>2512</v>
      </c>
      <c r="H2030" s="71" t="s">
        <v>2456</v>
      </c>
      <c r="I2030" s="71" t="s">
        <v>397</v>
      </c>
      <c r="J2030" s="71" t="s">
        <v>2463</v>
      </c>
    </row>
    <row r="2031" spans="1:10" ht="43.5" x14ac:dyDescent="0.35">
      <c r="A2031" s="195">
        <v>15</v>
      </c>
      <c r="B2031" s="195">
        <v>16</v>
      </c>
      <c r="C2031" s="195" t="s">
        <v>2553</v>
      </c>
      <c r="D2031" s="64">
        <v>28190</v>
      </c>
      <c r="E2031" s="195" t="s">
        <v>373</v>
      </c>
      <c r="F2031" s="71" t="s">
        <v>2508</v>
      </c>
      <c r="G2031" s="71" t="s">
        <v>2512</v>
      </c>
      <c r="H2031" s="71" t="s">
        <v>2517</v>
      </c>
      <c r="I2031" s="71" t="s">
        <v>1440</v>
      </c>
      <c r="J2031" s="71" t="s">
        <v>2466</v>
      </c>
    </row>
    <row r="2032" spans="1:10" ht="43.5" x14ac:dyDescent="0.35">
      <c r="A2032" s="195">
        <v>15</v>
      </c>
      <c r="B2032" s="195">
        <v>16</v>
      </c>
      <c r="C2032" s="195" t="s">
        <v>2554</v>
      </c>
      <c r="D2032" s="64">
        <v>14750</v>
      </c>
      <c r="E2032" s="195" t="s">
        <v>373</v>
      </c>
      <c r="F2032" s="71" t="s">
        <v>2510</v>
      </c>
      <c r="G2032" s="71" t="s">
        <v>2512</v>
      </c>
      <c r="H2032" s="71" t="s">
        <v>2517</v>
      </c>
      <c r="I2032" s="71" t="s">
        <v>1440</v>
      </c>
      <c r="J2032" s="71" t="s">
        <v>2466</v>
      </c>
    </row>
    <row r="2033" spans="1:10" ht="43.5" x14ac:dyDescent="0.35">
      <c r="A2033" s="195">
        <v>15</v>
      </c>
      <c r="B2033" s="195">
        <v>16</v>
      </c>
      <c r="C2033" s="195" t="s">
        <v>2552</v>
      </c>
      <c r="D2033" s="64">
        <v>3680</v>
      </c>
      <c r="E2033" s="195" t="s">
        <v>373</v>
      </c>
      <c r="F2033" s="71" t="s">
        <v>508</v>
      </c>
      <c r="G2033" s="71" t="s">
        <v>2512</v>
      </c>
      <c r="H2033" s="71" t="s">
        <v>2456</v>
      </c>
      <c r="I2033" s="71" t="s">
        <v>397</v>
      </c>
      <c r="J2033" s="71" t="s">
        <v>2466</v>
      </c>
    </row>
    <row r="2034" spans="1:10" ht="43.5" x14ac:dyDescent="0.35">
      <c r="A2034" s="195">
        <v>15</v>
      </c>
      <c r="B2034" s="195">
        <v>17</v>
      </c>
      <c r="C2034" s="195" t="s">
        <v>2557</v>
      </c>
      <c r="D2034" s="64">
        <v>28630</v>
      </c>
      <c r="E2034" s="195" t="s">
        <v>366</v>
      </c>
      <c r="F2034" s="71" t="s">
        <v>2508</v>
      </c>
      <c r="G2034" s="71" t="s">
        <v>2512</v>
      </c>
      <c r="H2034" s="71" t="s">
        <v>2517</v>
      </c>
      <c r="I2034" s="71" t="s">
        <v>1467</v>
      </c>
      <c r="J2034" s="71" t="s">
        <v>2443</v>
      </c>
    </row>
    <row r="2035" spans="1:10" ht="43.5" x14ac:dyDescent="0.35">
      <c r="A2035" s="195">
        <v>15</v>
      </c>
      <c r="B2035" s="195">
        <v>17</v>
      </c>
      <c r="C2035" s="195" t="s">
        <v>2556</v>
      </c>
      <c r="D2035" s="64">
        <v>11910</v>
      </c>
      <c r="E2035" s="195" t="s">
        <v>366</v>
      </c>
      <c r="F2035" s="71" t="s">
        <v>2510</v>
      </c>
      <c r="G2035" s="71" t="s">
        <v>2512</v>
      </c>
      <c r="H2035" s="71" t="s">
        <v>2517</v>
      </c>
      <c r="I2035" s="71" t="s">
        <v>1467</v>
      </c>
      <c r="J2035" s="71" t="s">
        <v>2443</v>
      </c>
    </row>
    <row r="2036" spans="1:10" ht="43.5" x14ac:dyDescent="0.35">
      <c r="A2036" s="195">
        <v>15</v>
      </c>
      <c r="B2036" s="195">
        <v>17</v>
      </c>
      <c r="C2036" s="195" t="s">
        <v>2555</v>
      </c>
      <c r="D2036" s="64">
        <v>3530</v>
      </c>
      <c r="E2036" s="195" t="s">
        <v>366</v>
      </c>
      <c r="F2036" s="71" t="s">
        <v>508</v>
      </c>
      <c r="G2036" s="71" t="s">
        <v>2512</v>
      </c>
      <c r="H2036" s="71" t="s">
        <v>2456</v>
      </c>
      <c r="I2036" s="71" t="s">
        <v>406</v>
      </c>
      <c r="J2036" s="71" t="s">
        <v>2443</v>
      </c>
    </row>
    <row r="2037" spans="1:10" ht="43.5" x14ac:dyDescent="0.35">
      <c r="A2037" s="195">
        <v>15</v>
      </c>
      <c r="B2037" s="195">
        <v>18</v>
      </c>
      <c r="C2037" s="195" t="s">
        <v>2560</v>
      </c>
      <c r="D2037" s="64">
        <v>1920</v>
      </c>
      <c r="E2037" s="195" t="s">
        <v>373</v>
      </c>
      <c r="F2037" s="71" t="s">
        <v>2508</v>
      </c>
      <c r="G2037" s="71" t="s">
        <v>2512</v>
      </c>
      <c r="H2037" s="71" t="s">
        <v>2517</v>
      </c>
      <c r="I2037" s="71" t="s">
        <v>1467</v>
      </c>
      <c r="J2037" s="71" t="s">
        <v>2460</v>
      </c>
    </row>
    <row r="2038" spans="1:10" ht="43.5" x14ac:dyDescent="0.35">
      <c r="A2038" s="195">
        <v>15</v>
      </c>
      <c r="B2038" s="195">
        <v>18</v>
      </c>
      <c r="C2038" s="195" t="s">
        <v>2559</v>
      </c>
      <c r="D2038" s="195">
        <v>780</v>
      </c>
      <c r="E2038" s="195" t="s">
        <v>373</v>
      </c>
      <c r="F2038" s="71" t="s">
        <v>2510</v>
      </c>
      <c r="G2038" s="71" t="s">
        <v>2512</v>
      </c>
      <c r="H2038" s="71" t="s">
        <v>2517</v>
      </c>
      <c r="I2038" s="71" t="s">
        <v>1467</v>
      </c>
      <c r="J2038" s="71" t="s">
        <v>2460</v>
      </c>
    </row>
    <row r="2039" spans="1:10" ht="43.5" x14ac:dyDescent="0.35">
      <c r="A2039" s="195">
        <v>15</v>
      </c>
      <c r="B2039" s="195">
        <v>18</v>
      </c>
      <c r="C2039" s="195" t="s">
        <v>2558</v>
      </c>
      <c r="D2039" s="195">
        <v>715</v>
      </c>
      <c r="E2039" s="195" t="s">
        <v>373</v>
      </c>
      <c r="F2039" s="71" t="s">
        <v>508</v>
      </c>
      <c r="G2039" s="71" t="s">
        <v>2512</v>
      </c>
      <c r="H2039" s="71" t="s">
        <v>2456</v>
      </c>
      <c r="I2039" s="71" t="s">
        <v>406</v>
      </c>
      <c r="J2039" s="71" t="s">
        <v>2460</v>
      </c>
    </row>
    <row r="2040" spans="1:10" ht="43.5" x14ac:dyDescent="0.35">
      <c r="A2040" s="195">
        <v>15</v>
      </c>
      <c r="B2040" s="195">
        <v>19</v>
      </c>
      <c r="C2040" s="195" t="s">
        <v>2563</v>
      </c>
      <c r="D2040" s="64">
        <v>7880</v>
      </c>
      <c r="E2040" s="195" t="s">
        <v>373</v>
      </c>
      <c r="F2040" s="71" t="s">
        <v>2508</v>
      </c>
      <c r="G2040" s="71" t="s">
        <v>2512</v>
      </c>
      <c r="H2040" s="71" t="s">
        <v>2517</v>
      </c>
      <c r="I2040" s="71" t="s">
        <v>1467</v>
      </c>
      <c r="J2040" s="71" t="s">
        <v>2463</v>
      </c>
    </row>
    <row r="2041" spans="1:10" ht="43.5" x14ac:dyDescent="0.35">
      <c r="A2041" s="195">
        <v>15</v>
      </c>
      <c r="B2041" s="195">
        <v>19</v>
      </c>
      <c r="C2041" s="195" t="s">
        <v>2561</v>
      </c>
      <c r="D2041" s="64">
        <v>3910</v>
      </c>
      <c r="E2041" s="195" t="s">
        <v>373</v>
      </c>
      <c r="F2041" s="71" t="s">
        <v>2510</v>
      </c>
      <c r="G2041" s="71" t="s">
        <v>2512</v>
      </c>
      <c r="H2041" s="71" t="s">
        <v>2517</v>
      </c>
      <c r="I2041" s="71" t="s">
        <v>1467</v>
      </c>
      <c r="J2041" s="71" t="s">
        <v>2463</v>
      </c>
    </row>
    <row r="2042" spans="1:10" ht="43.5" x14ac:dyDescent="0.35">
      <c r="A2042" s="195">
        <v>15</v>
      </c>
      <c r="B2042" s="195">
        <v>19</v>
      </c>
      <c r="C2042" s="195" t="s">
        <v>2562</v>
      </c>
      <c r="D2042" s="64">
        <v>1465</v>
      </c>
      <c r="E2042" s="195" t="s">
        <v>373</v>
      </c>
      <c r="F2042" s="71" t="s">
        <v>508</v>
      </c>
      <c r="G2042" s="71" t="s">
        <v>2512</v>
      </c>
      <c r="H2042" s="71" t="s">
        <v>2456</v>
      </c>
      <c r="I2042" s="71" t="s">
        <v>406</v>
      </c>
      <c r="J2042" s="71" t="s">
        <v>2463</v>
      </c>
    </row>
    <row r="2043" spans="1:10" ht="43.5" x14ac:dyDescent="0.35">
      <c r="A2043" s="195">
        <v>15</v>
      </c>
      <c r="B2043" s="195">
        <v>20</v>
      </c>
      <c r="C2043" s="195" t="s">
        <v>2564</v>
      </c>
      <c r="D2043" s="64">
        <v>18830</v>
      </c>
      <c r="E2043" s="195" t="s">
        <v>373</v>
      </c>
      <c r="F2043" s="71" t="s">
        <v>2508</v>
      </c>
      <c r="G2043" s="71" t="s">
        <v>2512</v>
      </c>
      <c r="H2043" s="71" t="s">
        <v>2517</v>
      </c>
      <c r="I2043" s="71" t="s">
        <v>1467</v>
      </c>
      <c r="J2043" s="71" t="s">
        <v>2466</v>
      </c>
    </row>
    <row r="2044" spans="1:10" ht="43.5" x14ac:dyDescent="0.35">
      <c r="A2044" s="195">
        <v>15</v>
      </c>
      <c r="B2044" s="195">
        <v>20</v>
      </c>
      <c r="C2044" s="195" t="s">
        <v>2565</v>
      </c>
      <c r="D2044" s="64">
        <v>7220</v>
      </c>
      <c r="E2044" s="195" t="s">
        <v>373</v>
      </c>
      <c r="F2044" s="71" t="s">
        <v>2510</v>
      </c>
      <c r="G2044" s="71" t="s">
        <v>2512</v>
      </c>
      <c r="H2044" s="71" t="s">
        <v>2517</v>
      </c>
      <c r="I2044" s="71" t="s">
        <v>1467</v>
      </c>
      <c r="J2044" s="71" t="s">
        <v>2466</v>
      </c>
    </row>
    <row r="2045" spans="1:10" ht="43.5" x14ac:dyDescent="0.35">
      <c r="A2045" s="195">
        <v>15</v>
      </c>
      <c r="B2045" s="195">
        <v>20</v>
      </c>
      <c r="C2045" s="195" t="s">
        <v>2566</v>
      </c>
      <c r="D2045" s="64">
        <v>1355</v>
      </c>
      <c r="E2045" s="195" t="s">
        <v>373</v>
      </c>
      <c r="F2045" s="71" t="s">
        <v>508</v>
      </c>
      <c r="G2045" s="71" t="s">
        <v>2512</v>
      </c>
      <c r="H2045" s="71" t="s">
        <v>2456</v>
      </c>
      <c r="I2045" s="71" t="s">
        <v>406</v>
      </c>
      <c r="J2045" s="71" t="s">
        <v>2466</v>
      </c>
    </row>
    <row r="2046" spans="1:10" ht="43.5" x14ac:dyDescent="0.35">
      <c r="A2046" s="195">
        <v>15</v>
      </c>
      <c r="B2046" s="195">
        <v>21</v>
      </c>
      <c r="C2046" s="195" t="s">
        <v>2569</v>
      </c>
      <c r="D2046" s="64">
        <v>73705</v>
      </c>
      <c r="E2046" s="195" t="s">
        <v>366</v>
      </c>
      <c r="F2046" s="71" t="s">
        <v>2508</v>
      </c>
      <c r="G2046" s="71" t="s">
        <v>2512</v>
      </c>
      <c r="H2046" s="71" t="s">
        <v>2517</v>
      </c>
      <c r="I2046" s="71" t="s">
        <v>1494</v>
      </c>
      <c r="J2046" s="71" t="s">
        <v>2443</v>
      </c>
    </row>
    <row r="2047" spans="1:10" ht="43.5" x14ac:dyDescent="0.35">
      <c r="A2047" s="195">
        <v>15</v>
      </c>
      <c r="B2047" s="195">
        <v>21</v>
      </c>
      <c r="C2047" s="195" t="s">
        <v>2568</v>
      </c>
      <c r="D2047" s="64">
        <v>26335</v>
      </c>
      <c r="E2047" s="195" t="s">
        <v>366</v>
      </c>
      <c r="F2047" s="71" t="s">
        <v>2510</v>
      </c>
      <c r="G2047" s="71" t="s">
        <v>2512</v>
      </c>
      <c r="H2047" s="71" t="s">
        <v>2517</v>
      </c>
      <c r="I2047" s="71" t="s">
        <v>1494</v>
      </c>
      <c r="J2047" s="71" t="s">
        <v>2443</v>
      </c>
    </row>
    <row r="2048" spans="1:10" ht="29" x14ac:dyDescent="0.35">
      <c r="A2048" s="195">
        <v>15</v>
      </c>
      <c r="B2048" s="195">
        <v>21</v>
      </c>
      <c r="C2048" s="195" t="s">
        <v>2567</v>
      </c>
      <c r="D2048" s="64">
        <v>7850</v>
      </c>
      <c r="E2048" s="195" t="s">
        <v>366</v>
      </c>
      <c r="F2048" s="71" t="s">
        <v>508</v>
      </c>
      <c r="G2048" s="71" t="s">
        <v>2512</v>
      </c>
      <c r="H2048" s="71" t="s">
        <v>2456</v>
      </c>
      <c r="I2048" s="71" t="s">
        <v>415</v>
      </c>
      <c r="J2048" s="71" t="s">
        <v>2443</v>
      </c>
    </row>
    <row r="2049" spans="1:10" ht="43.5" x14ac:dyDescent="0.35">
      <c r="A2049" s="195">
        <v>15</v>
      </c>
      <c r="B2049" s="195">
        <v>22</v>
      </c>
      <c r="C2049" s="195" t="s">
        <v>2571</v>
      </c>
      <c r="D2049" s="64">
        <v>3960</v>
      </c>
      <c r="E2049" s="195" t="s">
        <v>373</v>
      </c>
      <c r="F2049" s="71" t="s">
        <v>2508</v>
      </c>
      <c r="G2049" s="71" t="s">
        <v>2512</v>
      </c>
      <c r="H2049" s="71" t="s">
        <v>2517</v>
      </c>
      <c r="I2049" s="71" t="s">
        <v>1494</v>
      </c>
      <c r="J2049" s="71" t="s">
        <v>2460</v>
      </c>
    </row>
    <row r="2050" spans="1:10" ht="43.5" x14ac:dyDescent="0.35">
      <c r="A2050" s="195">
        <v>15</v>
      </c>
      <c r="B2050" s="195">
        <v>22</v>
      </c>
      <c r="C2050" s="195" t="s">
        <v>2572</v>
      </c>
      <c r="D2050" s="64">
        <v>1715</v>
      </c>
      <c r="E2050" s="195" t="s">
        <v>373</v>
      </c>
      <c r="F2050" s="71" t="s">
        <v>2510</v>
      </c>
      <c r="G2050" s="71" t="s">
        <v>2512</v>
      </c>
      <c r="H2050" s="71" t="s">
        <v>2517</v>
      </c>
      <c r="I2050" s="71" t="s">
        <v>1494</v>
      </c>
      <c r="J2050" s="71" t="s">
        <v>2460</v>
      </c>
    </row>
    <row r="2051" spans="1:10" ht="29" x14ac:dyDescent="0.35">
      <c r="A2051" s="195">
        <v>15</v>
      </c>
      <c r="B2051" s="195">
        <v>22</v>
      </c>
      <c r="C2051" s="195" t="s">
        <v>2570</v>
      </c>
      <c r="D2051" s="64">
        <v>1070</v>
      </c>
      <c r="E2051" s="195" t="s">
        <v>373</v>
      </c>
      <c r="F2051" s="71" t="s">
        <v>508</v>
      </c>
      <c r="G2051" s="71" t="s">
        <v>2512</v>
      </c>
      <c r="H2051" s="71" t="s">
        <v>2456</v>
      </c>
      <c r="I2051" s="71" t="s">
        <v>415</v>
      </c>
      <c r="J2051" s="71" t="s">
        <v>2460</v>
      </c>
    </row>
    <row r="2052" spans="1:10" ht="43.5" x14ac:dyDescent="0.35">
      <c r="A2052" s="195">
        <v>15</v>
      </c>
      <c r="B2052" s="195">
        <v>23</v>
      </c>
      <c r="C2052" s="195" t="s">
        <v>2573</v>
      </c>
      <c r="D2052" s="64">
        <v>19805</v>
      </c>
      <c r="E2052" s="195" t="s">
        <v>373</v>
      </c>
      <c r="F2052" s="71" t="s">
        <v>2508</v>
      </c>
      <c r="G2052" s="71" t="s">
        <v>2512</v>
      </c>
      <c r="H2052" s="71" t="s">
        <v>2517</v>
      </c>
      <c r="I2052" s="71" t="s">
        <v>1494</v>
      </c>
      <c r="J2052" s="71" t="s">
        <v>2463</v>
      </c>
    </row>
    <row r="2053" spans="1:10" ht="43.5" x14ac:dyDescent="0.35">
      <c r="A2053" s="195">
        <v>15</v>
      </c>
      <c r="B2053" s="195">
        <v>23</v>
      </c>
      <c r="C2053" s="195" t="s">
        <v>2574</v>
      </c>
      <c r="D2053" s="64">
        <v>8035</v>
      </c>
      <c r="E2053" s="195" t="s">
        <v>373</v>
      </c>
      <c r="F2053" s="71" t="s">
        <v>2510</v>
      </c>
      <c r="G2053" s="71" t="s">
        <v>2512</v>
      </c>
      <c r="H2053" s="71" t="s">
        <v>2517</v>
      </c>
      <c r="I2053" s="71" t="s">
        <v>1494</v>
      </c>
      <c r="J2053" s="71" t="s">
        <v>2463</v>
      </c>
    </row>
    <row r="2054" spans="1:10" ht="29" x14ac:dyDescent="0.35">
      <c r="A2054" s="195">
        <v>15</v>
      </c>
      <c r="B2054" s="195">
        <v>23</v>
      </c>
      <c r="C2054" s="195" t="s">
        <v>2575</v>
      </c>
      <c r="D2054" s="64">
        <v>2495</v>
      </c>
      <c r="E2054" s="195" t="s">
        <v>373</v>
      </c>
      <c r="F2054" s="71" t="s">
        <v>508</v>
      </c>
      <c r="G2054" s="71" t="s">
        <v>2512</v>
      </c>
      <c r="H2054" s="71" t="s">
        <v>2456</v>
      </c>
      <c r="I2054" s="71" t="s">
        <v>415</v>
      </c>
      <c r="J2054" s="71" t="s">
        <v>2463</v>
      </c>
    </row>
    <row r="2055" spans="1:10" ht="43.5" x14ac:dyDescent="0.35">
      <c r="A2055" s="195">
        <v>15</v>
      </c>
      <c r="B2055" s="195">
        <v>24</v>
      </c>
      <c r="C2055" s="195" t="s">
        <v>2577</v>
      </c>
      <c r="D2055" s="64">
        <v>49935</v>
      </c>
      <c r="E2055" s="195" t="s">
        <v>373</v>
      </c>
      <c r="F2055" s="71" t="s">
        <v>2508</v>
      </c>
      <c r="G2055" s="71" t="s">
        <v>2512</v>
      </c>
      <c r="H2055" s="71" t="s">
        <v>2517</v>
      </c>
      <c r="I2055" s="71" t="s">
        <v>1494</v>
      </c>
      <c r="J2055" s="71" t="s">
        <v>2466</v>
      </c>
    </row>
    <row r="2056" spans="1:10" ht="43.5" x14ac:dyDescent="0.35">
      <c r="A2056" s="195">
        <v>15</v>
      </c>
      <c r="B2056" s="195">
        <v>24</v>
      </c>
      <c r="C2056" s="195" t="s">
        <v>2578</v>
      </c>
      <c r="D2056" s="64">
        <v>16590</v>
      </c>
      <c r="E2056" s="195" t="s">
        <v>373</v>
      </c>
      <c r="F2056" s="71" t="s">
        <v>2510</v>
      </c>
      <c r="G2056" s="71" t="s">
        <v>2512</v>
      </c>
      <c r="H2056" s="71" t="s">
        <v>2517</v>
      </c>
      <c r="I2056" s="71" t="s">
        <v>1494</v>
      </c>
      <c r="J2056" s="71" t="s">
        <v>2466</v>
      </c>
    </row>
    <row r="2057" spans="1:10" ht="29" x14ac:dyDescent="0.35">
      <c r="A2057" s="195">
        <v>15</v>
      </c>
      <c r="B2057" s="195">
        <v>24</v>
      </c>
      <c r="C2057" s="195" t="s">
        <v>2576</v>
      </c>
      <c r="D2057" s="64">
        <v>4285</v>
      </c>
      <c r="E2057" s="195" t="s">
        <v>373</v>
      </c>
      <c r="F2057" s="71" t="s">
        <v>508</v>
      </c>
      <c r="G2057" s="71" t="s">
        <v>2512</v>
      </c>
      <c r="H2057" s="71" t="s">
        <v>2456</v>
      </c>
      <c r="I2057" s="71" t="s">
        <v>415</v>
      </c>
      <c r="J2057" s="71" t="s">
        <v>2466</v>
      </c>
    </row>
    <row r="2058" spans="1:10" ht="29" x14ac:dyDescent="0.35">
      <c r="A2058" s="195">
        <v>15</v>
      </c>
      <c r="B2058" s="195">
        <v>25</v>
      </c>
      <c r="C2058" s="195" t="s">
        <v>2580</v>
      </c>
      <c r="D2058" s="64">
        <v>206445</v>
      </c>
      <c r="E2058" s="195" t="s">
        <v>366</v>
      </c>
      <c r="F2058" s="71" t="s">
        <v>2508</v>
      </c>
      <c r="G2058" s="71" t="s">
        <v>2512</v>
      </c>
      <c r="H2058" s="71" t="s">
        <v>2581</v>
      </c>
      <c r="I2058" s="71" t="s">
        <v>363</v>
      </c>
      <c r="J2058" s="71" t="s">
        <v>2443</v>
      </c>
    </row>
    <row r="2059" spans="1:10" ht="29" x14ac:dyDescent="0.35">
      <c r="A2059" s="195">
        <v>15</v>
      </c>
      <c r="B2059" s="195">
        <v>25</v>
      </c>
      <c r="C2059" s="195" t="s">
        <v>2582</v>
      </c>
      <c r="D2059" s="64">
        <v>100835</v>
      </c>
      <c r="E2059" s="195" t="s">
        <v>366</v>
      </c>
      <c r="F2059" s="71" t="s">
        <v>2510</v>
      </c>
      <c r="G2059" s="71" t="s">
        <v>2512</v>
      </c>
      <c r="H2059" s="71" t="s">
        <v>2581</v>
      </c>
      <c r="I2059" s="71" t="s">
        <v>363</v>
      </c>
      <c r="J2059" s="71" t="s">
        <v>2443</v>
      </c>
    </row>
    <row r="2060" spans="1:10" ht="29" x14ac:dyDescent="0.35">
      <c r="A2060" s="195">
        <v>15</v>
      </c>
      <c r="B2060" s="195">
        <v>25</v>
      </c>
      <c r="C2060" s="195" t="s">
        <v>2579</v>
      </c>
      <c r="D2060" s="64">
        <v>234595</v>
      </c>
      <c r="E2060" s="195" t="s">
        <v>366</v>
      </c>
      <c r="F2060" s="71" t="s">
        <v>508</v>
      </c>
      <c r="G2060" s="71" t="s">
        <v>2512</v>
      </c>
      <c r="H2060" s="71" t="s">
        <v>2469</v>
      </c>
      <c r="I2060" s="71" t="s">
        <v>363</v>
      </c>
      <c r="J2060" s="71" t="s">
        <v>2443</v>
      </c>
    </row>
    <row r="2061" spans="1:10" ht="43.5" x14ac:dyDescent="0.35">
      <c r="A2061" s="195">
        <v>15</v>
      </c>
      <c r="B2061" s="195">
        <v>26</v>
      </c>
      <c r="C2061" s="195" t="s">
        <v>2583</v>
      </c>
      <c r="D2061" s="64">
        <v>14010</v>
      </c>
      <c r="E2061" s="195" t="s">
        <v>366</v>
      </c>
      <c r="F2061" s="71" t="s">
        <v>2508</v>
      </c>
      <c r="G2061" s="71" t="s">
        <v>2512</v>
      </c>
      <c r="H2061" s="71" t="s">
        <v>2581</v>
      </c>
      <c r="I2061" s="71" t="s">
        <v>1377</v>
      </c>
      <c r="J2061" s="71" t="s">
        <v>2443</v>
      </c>
    </row>
    <row r="2062" spans="1:10" ht="43.5" x14ac:dyDescent="0.35">
      <c r="A2062" s="195">
        <v>15</v>
      </c>
      <c r="B2062" s="195">
        <v>26</v>
      </c>
      <c r="C2062" s="195" t="s">
        <v>2585</v>
      </c>
      <c r="D2062" s="64">
        <v>15185</v>
      </c>
      <c r="E2062" s="195" t="s">
        <v>366</v>
      </c>
      <c r="F2062" s="71" t="s">
        <v>2510</v>
      </c>
      <c r="G2062" s="71" t="s">
        <v>2512</v>
      </c>
      <c r="H2062" s="71" t="s">
        <v>2581</v>
      </c>
      <c r="I2062" s="71" t="s">
        <v>1377</v>
      </c>
      <c r="J2062" s="71" t="s">
        <v>2443</v>
      </c>
    </row>
    <row r="2063" spans="1:10" ht="29" x14ac:dyDescent="0.35">
      <c r="A2063" s="195">
        <v>15</v>
      </c>
      <c r="B2063" s="195">
        <v>26</v>
      </c>
      <c r="C2063" s="195" t="s">
        <v>2584</v>
      </c>
      <c r="D2063" s="64">
        <v>86785</v>
      </c>
      <c r="E2063" s="195" t="s">
        <v>366</v>
      </c>
      <c r="F2063" s="71" t="s">
        <v>508</v>
      </c>
      <c r="G2063" s="71" t="s">
        <v>2512</v>
      </c>
      <c r="H2063" s="71" t="s">
        <v>2469</v>
      </c>
      <c r="I2063" s="71" t="s">
        <v>371</v>
      </c>
      <c r="J2063" s="71" t="s">
        <v>2443</v>
      </c>
    </row>
    <row r="2064" spans="1:10" ht="43.5" x14ac:dyDescent="0.35">
      <c r="A2064" s="195">
        <v>15</v>
      </c>
      <c r="B2064" s="195">
        <v>27</v>
      </c>
      <c r="C2064" s="195" t="s">
        <v>2588</v>
      </c>
      <c r="D2064" s="195">
        <v>750</v>
      </c>
      <c r="E2064" s="195" t="s">
        <v>373</v>
      </c>
      <c r="F2064" s="71" t="s">
        <v>2508</v>
      </c>
      <c r="G2064" s="71" t="s">
        <v>2512</v>
      </c>
      <c r="H2064" s="71" t="s">
        <v>2581</v>
      </c>
      <c r="I2064" s="71" t="s">
        <v>1377</v>
      </c>
      <c r="J2064" s="71" t="s">
        <v>2460</v>
      </c>
    </row>
    <row r="2065" spans="1:10" ht="43.5" x14ac:dyDescent="0.35">
      <c r="A2065" s="195">
        <v>15</v>
      </c>
      <c r="B2065" s="195">
        <v>27</v>
      </c>
      <c r="C2065" s="195" t="s">
        <v>2586</v>
      </c>
      <c r="D2065" s="195">
        <v>865</v>
      </c>
      <c r="E2065" s="195" t="s">
        <v>373</v>
      </c>
      <c r="F2065" s="71" t="s">
        <v>2510</v>
      </c>
      <c r="G2065" s="71" t="s">
        <v>2512</v>
      </c>
      <c r="H2065" s="71" t="s">
        <v>2581</v>
      </c>
      <c r="I2065" s="71" t="s">
        <v>1377</v>
      </c>
      <c r="J2065" s="71" t="s">
        <v>2460</v>
      </c>
    </row>
    <row r="2066" spans="1:10" ht="29" x14ac:dyDescent="0.35">
      <c r="A2066" s="195">
        <v>15</v>
      </c>
      <c r="B2066" s="195">
        <v>27</v>
      </c>
      <c r="C2066" s="195" t="s">
        <v>2587</v>
      </c>
      <c r="D2066" s="64">
        <v>31585</v>
      </c>
      <c r="E2066" s="195" t="s">
        <v>373</v>
      </c>
      <c r="F2066" s="71" t="s">
        <v>508</v>
      </c>
      <c r="G2066" s="71" t="s">
        <v>2512</v>
      </c>
      <c r="H2066" s="71" t="s">
        <v>2469</v>
      </c>
      <c r="I2066" s="71" t="s">
        <v>371</v>
      </c>
      <c r="J2066" s="71" t="s">
        <v>2460</v>
      </c>
    </row>
    <row r="2067" spans="1:10" ht="43.5" x14ac:dyDescent="0.35">
      <c r="A2067" s="195">
        <v>15</v>
      </c>
      <c r="B2067" s="195">
        <v>28</v>
      </c>
      <c r="C2067" s="195" t="s">
        <v>2590</v>
      </c>
      <c r="D2067" s="64">
        <v>4620</v>
      </c>
      <c r="E2067" s="195" t="s">
        <v>373</v>
      </c>
      <c r="F2067" s="71" t="s">
        <v>2508</v>
      </c>
      <c r="G2067" s="71" t="s">
        <v>2512</v>
      </c>
      <c r="H2067" s="71" t="s">
        <v>2581</v>
      </c>
      <c r="I2067" s="71" t="s">
        <v>1377</v>
      </c>
      <c r="J2067" s="71" t="s">
        <v>2463</v>
      </c>
    </row>
    <row r="2068" spans="1:10" ht="43.5" x14ac:dyDescent="0.35">
      <c r="A2068" s="195">
        <v>15</v>
      </c>
      <c r="B2068" s="195">
        <v>28</v>
      </c>
      <c r="C2068" s="195" t="s">
        <v>2589</v>
      </c>
      <c r="D2068" s="64">
        <v>5815</v>
      </c>
      <c r="E2068" s="195" t="s">
        <v>373</v>
      </c>
      <c r="F2068" s="71" t="s">
        <v>2510</v>
      </c>
      <c r="G2068" s="71" t="s">
        <v>2512</v>
      </c>
      <c r="H2068" s="71" t="s">
        <v>2581</v>
      </c>
      <c r="I2068" s="71" t="s">
        <v>1377</v>
      </c>
      <c r="J2068" s="71" t="s">
        <v>2463</v>
      </c>
    </row>
    <row r="2069" spans="1:10" ht="29" x14ac:dyDescent="0.35">
      <c r="A2069" s="195">
        <v>15</v>
      </c>
      <c r="B2069" s="195">
        <v>28</v>
      </c>
      <c r="C2069" s="195" t="s">
        <v>2591</v>
      </c>
      <c r="D2069" s="64">
        <v>34540</v>
      </c>
      <c r="E2069" s="195" t="s">
        <v>373</v>
      </c>
      <c r="F2069" s="71" t="s">
        <v>508</v>
      </c>
      <c r="G2069" s="71" t="s">
        <v>2512</v>
      </c>
      <c r="H2069" s="71" t="s">
        <v>2469</v>
      </c>
      <c r="I2069" s="71" t="s">
        <v>371</v>
      </c>
      <c r="J2069" s="71" t="s">
        <v>2463</v>
      </c>
    </row>
    <row r="2070" spans="1:10" ht="43.5" x14ac:dyDescent="0.35">
      <c r="A2070" s="195">
        <v>15</v>
      </c>
      <c r="B2070" s="195">
        <v>29</v>
      </c>
      <c r="C2070" s="195" t="s">
        <v>2593</v>
      </c>
      <c r="D2070" s="64">
        <v>8640</v>
      </c>
      <c r="E2070" s="195" t="s">
        <v>373</v>
      </c>
      <c r="F2070" s="71" t="s">
        <v>2508</v>
      </c>
      <c r="G2070" s="71" t="s">
        <v>2512</v>
      </c>
      <c r="H2070" s="71" t="s">
        <v>2581</v>
      </c>
      <c r="I2070" s="71" t="s">
        <v>1377</v>
      </c>
      <c r="J2070" s="71" t="s">
        <v>2466</v>
      </c>
    </row>
    <row r="2071" spans="1:10" ht="43.5" x14ac:dyDescent="0.35">
      <c r="A2071" s="195">
        <v>15</v>
      </c>
      <c r="B2071" s="195">
        <v>29</v>
      </c>
      <c r="C2071" s="195" t="s">
        <v>2592</v>
      </c>
      <c r="D2071" s="64">
        <v>8505</v>
      </c>
      <c r="E2071" s="195" t="s">
        <v>373</v>
      </c>
      <c r="F2071" s="71" t="s">
        <v>2510</v>
      </c>
      <c r="G2071" s="71" t="s">
        <v>2512</v>
      </c>
      <c r="H2071" s="71" t="s">
        <v>2581</v>
      </c>
      <c r="I2071" s="71" t="s">
        <v>1377</v>
      </c>
      <c r="J2071" s="71" t="s">
        <v>2466</v>
      </c>
    </row>
    <row r="2072" spans="1:10" ht="29" x14ac:dyDescent="0.35">
      <c r="A2072" s="195">
        <v>15</v>
      </c>
      <c r="B2072" s="195">
        <v>29</v>
      </c>
      <c r="C2072" s="195" t="s">
        <v>2594</v>
      </c>
      <c r="D2072" s="64">
        <v>20660</v>
      </c>
      <c r="E2072" s="195" t="s">
        <v>373</v>
      </c>
      <c r="F2072" s="71" t="s">
        <v>508</v>
      </c>
      <c r="G2072" s="71" t="s">
        <v>2512</v>
      </c>
      <c r="H2072" s="71" t="s">
        <v>2469</v>
      </c>
      <c r="I2072" s="71" t="s">
        <v>371</v>
      </c>
      <c r="J2072" s="71" t="s">
        <v>2466</v>
      </c>
    </row>
    <row r="2073" spans="1:10" ht="43.5" x14ac:dyDescent="0.35">
      <c r="A2073" s="195">
        <v>15</v>
      </c>
      <c r="B2073" s="195">
        <v>30</v>
      </c>
      <c r="C2073" s="195" t="s">
        <v>2595</v>
      </c>
      <c r="D2073" s="64">
        <v>18785</v>
      </c>
      <c r="E2073" s="195" t="s">
        <v>366</v>
      </c>
      <c r="F2073" s="71" t="s">
        <v>2508</v>
      </c>
      <c r="G2073" s="71" t="s">
        <v>2512</v>
      </c>
      <c r="H2073" s="71" t="s">
        <v>2581</v>
      </c>
      <c r="I2073" s="71" t="s">
        <v>1413</v>
      </c>
      <c r="J2073" s="71" t="s">
        <v>2443</v>
      </c>
    </row>
    <row r="2074" spans="1:10" ht="43.5" x14ac:dyDescent="0.35">
      <c r="A2074" s="195">
        <v>15</v>
      </c>
      <c r="B2074" s="195">
        <v>30</v>
      </c>
      <c r="C2074" s="195" t="s">
        <v>2596</v>
      </c>
      <c r="D2074" s="64">
        <v>18325</v>
      </c>
      <c r="E2074" s="195" t="s">
        <v>366</v>
      </c>
      <c r="F2074" s="71" t="s">
        <v>2510</v>
      </c>
      <c r="G2074" s="71" t="s">
        <v>2512</v>
      </c>
      <c r="H2074" s="71" t="s">
        <v>2581</v>
      </c>
      <c r="I2074" s="71" t="s">
        <v>1413</v>
      </c>
      <c r="J2074" s="71" t="s">
        <v>2443</v>
      </c>
    </row>
    <row r="2075" spans="1:10" ht="43.5" x14ac:dyDescent="0.35">
      <c r="A2075" s="195">
        <v>15</v>
      </c>
      <c r="B2075" s="195">
        <v>30</v>
      </c>
      <c r="C2075" s="195" t="s">
        <v>2597</v>
      </c>
      <c r="D2075" s="64">
        <v>58630</v>
      </c>
      <c r="E2075" s="195" t="s">
        <v>366</v>
      </c>
      <c r="F2075" s="71" t="s">
        <v>508</v>
      </c>
      <c r="G2075" s="71" t="s">
        <v>2512</v>
      </c>
      <c r="H2075" s="71" t="s">
        <v>2469</v>
      </c>
      <c r="I2075" s="71" t="s">
        <v>388</v>
      </c>
      <c r="J2075" s="71" t="s">
        <v>2443</v>
      </c>
    </row>
    <row r="2076" spans="1:10" ht="43.5" x14ac:dyDescent="0.35">
      <c r="A2076" s="195">
        <v>15</v>
      </c>
      <c r="B2076" s="195">
        <v>31</v>
      </c>
      <c r="C2076" s="195" t="s">
        <v>2600</v>
      </c>
      <c r="D2076" s="195">
        <v>555</v>
      </c>
      <c r="E2076" s="195" t="s">
        <v>373</v>
      </c>
      <c r="F2076" s="71" t="s">
        <v>2508</v>
      </c>
      <c r="G2076" s="71" t="s">
        <v>2512</v>
      </c>
      <c r="H2076" s="71" t="s">
        <v>2581</v>
      </c>
      <c r="I2076" s="71" t="s">
        <v>1413</v>
      </c>
      <c r="J2076" s="71" t="s">
        <v>2460</v>
      </c>
    </row>
    <row r="2077" spans="1:10" ht="43.5" x14ac:dyDescent="0.35">
      <c r="A2077" s="195">
        <v>15</v>
      </c>
      <c r="B2077" s="195">
        <v>31</v>
      </c>
      <c r="C2077" s="195" t="s">
        <v>2598</v>
      </c>
      <c r="D2077" s="195">
        <v>725</v>
      </c>
      <c r="E2077" s="195" t="s">
        <v>373</v>
      </c>
      <c r="F2077" s="71" t="s">
        <v>2510</v>
      </c>
      <c r="G2077" s="71" t="s">
        <v>2512</v>
      </c>
      <c r="H2077" s="71" t="s">
        <v>2581</v>
      </c>
      <c r="I2077" s="71" t="s">
        <v>1413</v>
      </c>
      <c r="J2077" s="71" t="s">
        <v>2460</v>
      </c>
    </row>
    <row r="2078" spans="1:10" ht="43.5" x14ac:dyDescent="0.35">
      <c r="A2078" s="195">
        <v>15</v>
      </c>
      <c r="B2078" s="195">
        <v>31</v>
      </c>
      <c r="C2078" s="195" t="s">
        <v>2599</v>
      </c>
      <c r="D2078" s="64">
        <v>18205</v>
      </c>
      <c r="E2078" s="195" t="s">
        <v>373</v>
      </c>
      <c r="F2078" s="71" t="s">
        <v>508</v>
      </c>
      <c r="G2078" s="71" t="s">
        <v>2512</v>
      </c>
      <c r="H2078" s="71" t="s">
        <v>2469</v>
      </c>
      <c r="I2078" s="71" t="s">
        <v>388</v>
      </c>
      <c r="J2078" s="71" t="s">
        <v>2460</v>
      </c>
    </row>
    <row r="2079" spans="1:10" ht="43.5" x14ac:dyDescent="0.35">
      <c r="A2079" s="195">
        <v>15</v>
      </c>
      <c r="B2079" s="195">
        <v>32</v>
      </c>
      <c r="C2079" s="195" t="s">
        <v>2601</v>
      </c>
      <c r="D2079" s="64">
        <v>5635</v>
      </c>
      <c r="E2079" s="195" t="s">
        <v>373</v>
      </c>
      <c r="F2079" s="71" t="s">
        <v>2508</v>
      </c>
      <c r="G2079" s="71" t="s">
        <v>2512</v>
      </c>
      <c r="H2079" s="71" t="s">
        <v>2581</v>
      </c>
      <c r="I2079" s="71" t="s">
        <v>1413</v>
      </c>
      <c r="J2079" s="71" t="s">
        <v>2463</v>
      </c>
    </row>
    <row r="2080" spans="1:10" ht="43.5" x14ac:dyDescent="0.35">
      <c r="A2080" s="195">
        <v>15</v>
      </c>
      <c r="B2080" s="195">
        <v>32</v>
      </c>
      <c r="C2080" s="195" t="s">
        <v>2602</v>
      </c>
      <c r="D2080" s="64">
        <v>6825</v>
      </c>
      <c r="E2080" s="195" t="s">
        <v>373</v>
      </c>
      <c r="F2080" s="71" t="s">
        <v>2510</v>
      </c>
      <c r="G2080" s="71" t="s">
        <v>2512</v>
      </c>
      <c r="H2080" s="71" t="s">
        <v>2581</v>
      </c>
      <c r="I2080" s="71" t="s">
        <v>1413</v>
      </c>
      <c r="J2080" s="71" t="s">
        <v>2463</v>
      </c>
    </row>
    <row r="2081" spans="1:10" ht="43.5" x14ac:dyDescent="0.35">
      <c r="A2081" s="195">
        <v>15</v>
      </c>
      <c r="B2081" s="195">
        <v>32</v>
      </c>
      <c r="C2081" s="195" t="s">
        <v>2603</v>
      </c>
      <c r="D2081" s="64">
        <v>25585</v>
      </c>
      <c r="E2081" s="195" t="s">
        <v>373</v>
      </c>
      <c r="F2081" s="71" t="s">
        <v>508</v>
      </c>
      <c r="G2081" s="71" t="s">
        <v>2512</v>
      </c>
      <c r="H2081" s="71" t="s">
        <v>2469</v>
      </c>
      <c r="I2081" s="71" t="s">
        <v>388</v>
      </c>
      <c r="J2081" s="71" t="s">
        <v>2463</v>
      </c>
    </row>
    <row r="2082" spans="1:10" ht="43.5" x14ac:dyDescent="0.35">
      <c r="A2082" s="195">
        <v>15</v>
      </c>
      <c r="B2082" s="195">
        <v>33</v>
      </c>
      <c r="C2082" s="195" t="s">
        <v>2605</v>
      </c>
      <c r="D2082" s="64">
        <v>12595</v>
      </c>
      <c r="E2082" s="195" t="s">
        <v>373</v>
      </c>
      <c r="F2082" s="71" t="s">
        <v>2508</v>
      </c>
      <c r="G2082" s="71" t="s">
        <v>2512</v>
      </c>
      <c r="H2082" s="71" t="s">
        <v>2581</v>
      </c>
      <c r="I2082" s="71" t="s">
        <v>1413</v>
      </c>
      <c r="J2082" s="71" t="s">
        <v>2466</v>
      </c>
    </row>
    <row r="2083" spans="1:10" ht="43.5" x14ac:dyDescent="0.35">
      <c r="A2083" s="195">
        <v>15</v>
      </c>
      <c r="B2083" s="195">
        <v>33</v>
      </c>
      <c r="C2083" s="195" t="s">
        <v>2606</v>
      </c>
      <c r="D2083" s="64">
        <v>10775</v>
      </c>
      <c r="E2083" s="195" t="s">
        <v>373</v>
      </c>
      <c r="F2083" s="71" t="s">
        <v>2510</v>
      </c>
      <c r="G2083" s="71" t="s">
        <v>2512</v>
      </c>
      <c r="H2083" s="71" t="s">
        <v>2581</v>
      </c>
      <c r="I2083" s="71" t="s">
        <v>1413</v>
      </c>
      <c r="J2083" s="71" t="s">
        <v>2466</v>
      </c>
    </row>
    <row r="2084" spans="1:10" ht="43.5" x14ac:dyDescent="0.35">
      <c r="A2084" s="195">
        <v>15</v>
      </c>
      <c r="B2084" s="195">
        <v>33</v>
      </c>
      <c r="C2084" s="195" t="s">
        <v>2604</v>
      </c>
      <c r="D2084" s="64">
        <v>14840</v>
      </c>
      <c r="E2084" s="195" t="s">
        <v>373</v>
      </c>
      <c r="F2084" s="71" t="s">
        <v>508</v>
      </c>
      <c r="G2084" s="71" t="s">
        <v>2512</v>
      </c>
      <c r="H2084" s="71" t="s">
        <v>2469</v>
      </c>
      <c r="I2084" s="71" t="s">
        <v>388</v>
      </c>
      <c r="J2084" s="71" t="s">
        <v>2466</v>
      </c>
    </row>
    <row r="2085" spans="1:10" ht="43.5" x14ac:dyDescent="0.35">
      <c r="A2085" s="195">
        <v>15</v>
      </c>
      <c r="B2085" s="195">
        <v>34</v>
      </c>
      <c r="C2085" s="195" t="s">
        <v>2608</v>
      </c>
      <c r="D2085" s="64">
        <v>35630</v>
      </c>
      <c r="E2085" s="195" t="s">
        <v>366</v>
      </c>
      <c r="F2085" s="71" t="s">
        <v>2508</v>
      </c>
      <c r="G2085" s="71" t="s">
        <v>2512</v>
      </c>
      <c r="H2085" s="71" t="s">
        <v>2581</v>
      </c>
      <c r="I2085" s="71" t="s">
        <v>1440</v>
      </c>
      <c r="J2085" s="71" t="s">
        <v>2443</v>
      </c>
    </row>
    <row r="2086" spans="1:10" ht="43.5" x14ac:dyDescent="0.35">
      <c r="A2086" s="195">
        <v>15</v>
      </c>
      <c r="B2086" s="195">
        <v>34</v>
      </c>
      <c r="C2086" s="195" t="s">
        <v>2607</v>
      </c>
      <c r="D2086" s="64">
        <v>21315</v>
      </c>
      <c r="E2086" s="195" t="s">
        <v>366</v>
      </c>
      <c r="F2086" s="71" t="s">
        <v>2510</v>
      </c>
      <c r="G2086" s="71" t="s">
        <v>2512</v>
      </c>
      <c r="H2086" s="71" t="s">
        <v>2581</v>
      </c>
      <c r="I2086" s="71" t="s">
        <v>1440</v>
      </c>
      <c r="J2086" s="71" t="s">
        <v>2443</v>
      </c>
    </row>
    <row r="2087" spans="1:10" ht="43.5" x14ac:dyDescent="0.35">
      <c r="A2087" s="195">
        <v>15</v>
      </c>
      <c r="B2087" s="195">
        <v>34</v>
      </c>
      <c r="C2087" s="195" t="s">
        <v>2609</v>
      </c>
      <c r="D2087" s="64">
        <v>50080</v>
      </c>
      <c r="E2087" s="195" t="s">
        <v>366</v>
      </c>
      <c r="F2087" s="71" t="s">
        <v>508</v>
      </c>
      <c r="G2087" s="71" t="s">
        <v>2512</v>
      </c>
      <c r="H2087" s="71" t="s">
        <v>2469</v>
      </c>
      <c r="I2087" s="71" t="s">
        <v>397</v>
      </c>
      <c r="J2087" s="71" t="s">
        <v>2443</v>
      </c>
    </row>
    <row r="2088" spans="1:10" ht="43.5" x14ac:dyDescent="0.35">
      <c r="A2088" s="195">
        <v>15</v>
      </c>
      <c r="B2088" s="195">
        <v>35</v>
      </c>
      <c r="C2088" s="195" t="s">
        <v>2610</v>
      </c>
      <c r="D2088" s="64">
        <v>1415</v>
      </c>
      <c r="E2088" s="195" t="s">
        <v>373</v>
      </c>
      <c r="F2088" s="71" t="s">
        <v>2508</v>
      </c>
      <c r="G2088" s="71" t="s">
        <v>2512</v>
      </c>
      <c r="H2088" s="71" t="s">
        <v>2581</v>
      </c>
      <c r="I2088" s="71" t="s">
        <v>1440</v>
      </c>
      <c r="J2088" s="71" t="s">
        <v>2460</v>
      </c>
    </row>
    <row r="2089" spans="1:10" ht="43.5" x14ac:dyDescent="0.35">
      <c r="A2089" s="195">
        <v>15</v>
      </c>
      <c r="B2089" s="195">
        <v>35</v>
      </c>
      <c r="C2089" s="195" t="s">
        <v>2612</v>
      </c>
      <c r="D2089" s="195">
        <v>630</v>
      </c>
      <c r="E2089" s="195" t="s">
        <v>373</v>
      </c>
      <c r="F2089" s="71" t="s">
        <v>2510</v>
      </c>
      <c r="G2089" s="71" t="s">
        <v>2512</v>
      </c>
      <c r="H2089" s="71" t="s">
        <v>2581</v>
      </c>
      <c r="I2089" s="71" t="s">
        <v>1440</v>
      </c>
      <c r="J2089" s="71" t="s">
        <v>2460</v>
      </c>
    </row>
    <row r="2090" spans="1:10" ht="43.5" x14ac:dyDescent="0.35">
      <c r="A2090" s="195">
        <v>15</v>
      </c>
      <c r="B2090" s="195">
        <v>35</v>
      </c>
      <c r="C2090" s="195" t="s">
        <v>2611</v>
      </c>
      <c r="D2090" s="64">
        <v>14495</v>
      </c>
      <c r="E2090" s="195" t="s">
        <v>373</v>
      </c>
      <c r="F2090" s="71" t="s">
        <v>508</v>
      </c>
      <c r="G2090" s="71" t="s">
        <v>2512</v>
      </c>
      <c r="H2090" s="71" t="s">
        <v>2469</v>
      </c>
      <c r="I2090" s="71" t="s">
        <v>397</v>
      </c>
      <c r="J2090" s="71" t="s">
        <v>2460</v>
      </c>
    </row>
    <row r="2091" spans="1:10" ht="43.5" x14ac:dyDescent="0.35">
      <c r="A2091" s="195">
        <v>15</v>
      </c>
      <c r="B2091" s="195">
        <v>36</v>
      </c>
      <c r="C2091" s="195" t="s">
        <v>2613</v>
      </c>
      <c r="D2091" s="64">
        <v>10305</v>
      </c>
      <c r="E2091" s="195" t="s">
        <v>373</v>
      </c>
      <c r="F2091" s="71" t="s">
        <v>2508</v>
      </c>
      <c r="G2091" s="71" t="s">
        <v>2512</v>
      </c>
      <c r="H2091" s="71" t="s">
        <v>2581</v>
      </c>
      <c r="I2091" s="71" t="s">
        <v>1440</v>
      </c>
      <c r="J2091" s="71" t="s">
        <v>2463</v>
      </c>
    </row>
    <row r="2092" spans="1:10" ht="43.5" x14ac:dyDescent="0.35">
      <c r="A2092" s="195">
        <v>15</v>
      </c>
      <c r="B2092" s="195">
        <v>36</v>
      </c>
      <c r="C2092" s="195" t="s">
        <v>2614</v>
      </c>
      <c r="D2092" s="64">
        <v>6800</v>
      </c>
      <c r="E2092" s="195" t="s">
        <v>373</v>
      </c>
      <c r="F2092" s="71" t="s">
        <v>2510</v>
      </c>
      <c r="G2092" s="71" t="s">
        <v>2512</v>
      </c>
      <c r="H2092" s="71" t="s">
        <v>2581</v>
      </c>
      <c r="I2092" s="71" t="s">
        <v>1440</v>
      </c>
      <c r="J2092" s="71" t="s">
        <v>2463</v>
      </c>
    </row>
    <row r="2093" spans="1:10" ht="43.5" x14ac:dyDescent="0.35">
      <c r="A2093" s="195">
        <v>15</v>
      </c>
      <c r="B2093" s="195">
        <v>36</v>
      </c>
      <c r="C2093" s="195" t="s">
        <v>2615</v>
      </c>
      <c r="D2093" s="64">
        <v>22290</v>
      </c>
      <c r="E2093" s="195" t="s">
        <v>373</v>
      </c>
      <c r="F2093" s="71" t="s">
        <v>508</v>
      </c>
      <c r="G2093" s="71" t="s">
        <v>2512</v>
      </c>
      <c r="H2093" s="71" t="s">
        <v>2469</v>
      </c>
      <c r="I2093" s="71" t="s">
        <v>397</v>
      </c>
      <c r="J2093" s="71" t="s">
        <v>2463</v>
      </c>
    </row>
    <row r="2094" spans="1:10" ht="43.5" x14ac:dyDescent="0.35">
      <c r="A2094" s="195">
        <v>15</v>
      </c>
      <c r="B2094" s="195">
        <v>37</v>
      </c>
      <c r="C2094" s="195" t="s">
        <v>2616</v>
      </c>
      <c r="D2094" s="64">
        <v>23915</v>
      </c>
      <c r="E2094" s="195" t="s">
        <v>373</v>
      </c>
      <c r="F2094" s="71" t="s">
        <v>2508</v>
      </c>
      <c r="G2094" s="71" t="s">
        <v>2512</v>
      </c>
      <c r="H2094" s="71" t="s">
        <v>2581</v>
      </c>
      <c r="I2094" s="71" t="s">
        <v>1440</v>
      </c>
      <c r="J2094" s="71" t="s">
        <v>2466</v>
      </c>
    </row>
    <row r="2095" spans="1:10" ht="43.5" x14ac:dyDescent="0.35">
      <c r="A2095" s="195">
        <v>15</v>
      </c>
      <c r="B2095" s="195">
        <v>37</v>
      </c>
      <c r="C2095" s="195" t="s">
        <v>2618</v>
      </c>
      <c r="D2095" s="64">
        <v>13885</v>
      </c>
      <c r="E2095" s="195" t="s">
        <v>373</v>
      </c>
      <c r="F2095" s="71" t="s">
        <v>2510</v>
      </c>
      <c r="G2095" s="71" t="s">
        <v>2512</v>
      </c>
      <c r="H2095" s="71" t="s">
        <v>2581</v>
      </c>
      <c r="I2095" s="71" t="s">
        <v>1440</v>
      </c>
      <c r="J2095" s="71" t="s">
        <v>2466</v>
      </c>
    </row>
    <row r="2096" spans="1:10" ht="43.5" x14ac:dyDescent="0.35">
      <c r="A2096" s="195">
        <v>15</v>
      </c>
      <c r="B2096" s="195">
        <v>37</v>
      </c>
      <c r="C2096" s="195" t="s">
        <v>2617</v>
      </c>
      <c r="D2096" s="64">
        <v>13300</v>
      </c>
      <c r="E2096" s="195" t="s">
        <v>373</v>
      </c>
      <c r="F2096" s="71" t="s">
        <v>508</v>
      </c>
      <c r="G2096" s="71" t="s">
        <v>2512</v>
      </c>
      <c r="H2096" s="71" t="s">
        <v>2469</v>
      </c>
      <c r="I2096" s="71" t="s">
        <v>397</v>
      </c>
      <c r="J2096" s="71" t="s">
        <v>2466</v>
      </c>
    </row>
    <row r="2097" spans="1:10" ht="43.5" x14ac:dyDescent="0.35">
      <c r="A2097" s="195">
        <v>15</v>
      </c>
      <c r="B2097" s="195">
        <v>38</v>
      </c>
      <c r="C2097" s="195" t="s">
        <v>2619</v>
      </c>
      <c r="D2097" s="64">
        <v>26115</v>
      </c>
      <c r="E2097" s="195" t="s">
        <v>366</v>
      </c>
      <c r="F2097" s="71" t="s">
        <v>2508</v>
      </c>
      <c r="G2097" s="71" t="s">
        <v>2512</v>
      </c>
      <c r="H2097" s="71" t="s">
        <v>2581</v>
      </c>
      <c r="I2097" s="71" t="s">
        <v>1467</v>
      </c>
      <c r="J2097" s="71" t="s">
        <v>2443</v>
      </c>
    </row>
    <row r="2098" spans="1:10" ht="43.5" x14ac:dyDescent="0.35">
      <c r="A2098" s="195">
        <v>15</v>
      </c>
      <c r="B2098" s="195">
        <v>38</v>
      </c>
      <c r="C2098" s="195" t="s">
        <v>2621</v>
      </c>
      <c r="D2098" s="64">
        <v>11400</v>
      </c>
      <c r="E2098" s="195" t="s">
        <v>366</v>
      </c>
      <c r="F2098" s="71" t="s">
        <v>2510</v>
      </c>
      <c r="G2098" s="71" t="s">
        <v>2512</v>
      </c>
      <c r="H2098" s="71" t="s">
        <v>2581</v>
      </c>
      <c r="I2098" s="71" t="s">
        <v>1467</v>
      </c>
      <c r="J2098" s="71" t="s">
        <v>2443</v>
      </c>
    </row>
    <row r="2099" spans="1:10" ht="43.5" x14ac:dyDescent="0.35">
      <c r="A2099" s="195">
        <v>15</v>
      </c>
      <c r="B2099" s="195">
        <v>38</v>
      </c>
      <c r="C2099" s="195" t="s">
        <v>2620</v>
      </c>
      <c r="D2099" s="64">
        <v>16435</v>
      </c>
      <c r="E2099" s="195" t="s">
        <v>366</v>
      </c>
      <c r="F2099" s="71" t="s">
        <v>508</v>
      </c>
      <c r="G2099" s="71" t="s">
        <v>2512</v>
      </c>
      <c r="H2099" s="71" t="s">
        <v>2469</v>
      </c>
      <c r="I2099" s="71" t="s">
        <v>406</v>
      </c>
      <c r="J2099" s="71" t="s">
        <v>2443</v>
      </c>
    </row>
    <row r="2100" spans="1:10" ht="43.5" x14ac:dyDescent="0.35">
      <c r="A2100" s="195">
        <v>15</v>
      </c>
      <c r="B2100" s="195">
        <v>39</v>
      </c>
      <c r="C2100" s="195" t="s">
        <v>2623</v>
      </c>
      <c r="D2100" s="64">
        <v>1130</v>
      </c>
      <c r="E2100" s="195" t="s">
        <v>373</v>
      </c>
      <c r="F2100" s="71" t="s">
        <v>2508</v>
      </c>
      <c r="G2100" s="71" t="s">
        <v>2512</v>
      </c>
      <c r="H2100" s="71" t="s">
        <v>2581</v>
      </c>
      <c r="I2100" s="71" t="s">
        <v>1467</v>
      </c>
      <c r="J2100" s="71" t="s">
        <v>2460</v>
      </c>
    </row>
    <row r="2101" spans="1:10" ht="43.5" x14ac:dyDescent="0.35">
      <c r="A2101" s="195">
        <v>15</v>
      </c>
      <c r="B2101" s="195">
        <v>39</v>
      </c>
      <c r="C2101" s="195" t="s">
        <v>2624</v>
      </c>
      <c r="D2101" s="195">
        <v>390</v>
      </c>
      <c r="E2101" s="195" t="s">
        <v>373</v>
      </c>
      <c r="F2101" s="71" t="s">
        <v>2510</v>
      </c>
      <c r="G2101" s="71" t="s">
        <v>2512</v>
      </c>
      <c r="H2101" s="71" t="s">
        <v>2581</v>
      </c>
      <c r="I2101" s="71" t="s">
        <v>1467</v>
      </c>
      <c r="J2101" s="71" t="s">
        <v>2460</v>
      </c>
    </row>
    <row r="2102" spans="1:10" ht="43.5" x14ac:dyDescent="0.35">
      <c r="A2102" s="195">
        <v>15</v>
      </c>
      <c r="B2102" s="195">
        <v>39</v>
      </c>
      <c r="C2102" s="195" t="s">
        <v>2622</v>
      </c>
      <c r="D2102" s="64">
        <v>4285</v>
      </c>
      <c r="E2102" s="195" t="s">
        <v>373</v>
      </c>
      <c r="F2102" s="71" t="s">
        <v>508</v>
      </c>
      <c r="G2102" s="71" t="s">
        <v>2512</v>
      </c>
      <c r="H2102" s="71" t="s">
        <v>2469</v>
      </c>
      <c r="I2102" s="71" t="s">
        <v>406</v>
      </c>
      <c r="J2102" s="71" t="s">
        <v>2460</v>
      </c>
    </row>
    <row r="2103" spans="1:10" ht="43.5" x14ac:dyDescent="0.35">
      <c r="A2103" s="195">
        <v>15</v>
      </c>
      <c r="B2103" s="195">
        <v>40</v>
      </c>
      <c r="C2103" s="195" t="s">
        <v>2626</v>
      </c>
      <c r="D2103" s="64">
        <v>7295</v>
      </c>
      <c r="E2103" s="195" t="s">
        <v>373</v>
      </c>
      <c r="F2103" s="71" t="s">
        <v>2508</v>
      </c>
      <c r="G2103" s="71" t="s">
        <v>2512</v>
      </c>
      <c r="H2103" s="71" t="s">
        <v>2581</v>
      </c>
      <c r="I2103" s="71" t="s">
        <v>1467</v>
      </c>
      <c r="J2103" s="71" t="s">
        <v>2463</v>
      </c>
    </row>
    <row r="2104" spans="1:10" ht="43.5" x14ac:dyDescent="0.35">
      <c r="A2104" s="195">
        <v>15</v>
      </c>
      <c r="B2104" s="195">
        <v>40</v>
      </c>
      <c r="C2104" s="195" t="s">
        <v>2625</v>
      </c>
      <c r="D2104" s="64">
        <v>3335</v>
      </c>
      <c r="E2104" s="195" t="s">
        <v>373</v>
      </c>
      <c r="F2104" s="71" t="s">
        <v>2510</v>
      </c>
      <c r="G2104" s="71" t="s">
        <v>2512</v>
      </c>
      <c r="H2104" s="71" t="s">
        <v>2581</v>
      </c>
      <c r="I2104" s="71" t="s">
        <v>1467</v>
      </c>
      <c r="J2104" s="71" t="s">
        <v>2463</v>
      </c>
    </row>
    <row r="2105" spans="1:10" ht="43.5" x14ac:dyDescent="0.35">
      <c r="A2105" s="195">
        <v>15</v>
      </c>
      <c r="B2105" s="195">
        <v>40</v>
      </c>
      <c r="C2105" s="195" t="s">
        <v>2627</v>
      </c>
      <c r="D2105" s="64">
        <v>7460</v>
      </c>
      <c r="E2105" s="195" t="s">
        <v>373</v>
      </c>
      <c r="F2105" s="71" t="s">
        <v>508</v>
      </c>
      <c r="G2105" s="71" t="s">
        <v>2512</v>
      </c>
      <c r="H2105" s="71" t="s">
        <v>2469</v>
      </c>
      <c r="I2105" s="71" t="s">
        <v>406</v>
      </c>
      <c r="J2105" s="71" t="s">
        <v>2463</v>
      </c>
    </row>
    <row r="2106" spans="1:10" ht="43.5" x14ac:dyDescent="0.35">
      <c r="A2106" s="195">
        <v>15</v>
      </c>
      <c r="B2106" s="195">
        <v>41</v>
      </c>
      <c r="C2106" s="195" t="s">
        <v>2628</v>
      </c>
      <c r="D2106" s="64">
        <v>17685</v>
      </c>
      <c r="E2106" s="195" t="s">
        <v>373</v>
      </c>
      <c r="F2106" s="71" t="s">
        <v>2508</v>
      </c>
      <c r="G2106" s="71" t="s">
        <v>2512</v>
      </c>
      <c r="H2106" s="71" t="s">
        <v>2581</v>
      </c>
      <c r="I2106" s="71" t="s">
        <v>1467</v>
      </c>
      <c r="J2106" s="71" t="s">
        <v>2466</v>
      </c>
    </row>
    <row r="2107" spans="1:10" ht="43.5" x14ac:dyDescent="0.35">
      <c r="A2107" s="195">
        <v>15</v>
      </c>
      <c r="B2107" s="195">
        <v>41</v>
      </c>
      <c r="C2107" s="195" t="s">
        <v>2629</v>
      </c>
      <c r="D2107" s="64">
        <v>7675</v>
      </c>
      <c r="E2107" s="195" t="s">
        <v>373</v>
      </c>
      <c r="F2107" s="71" t="s">
        <v>2510</v>
      </c>
      <c r="G2107" s="71" t="s">
        <v>2512</v>
      </c>
      <c r="H2107" s="71" t="s">
        <v>2581</v>
      </c>
      <c r="I2107" s="71" t="s">
        <v>1467</v>
      </c>
      <c r="J2107" s="71" t="s">
        <v>2466</v>
      </c>
    </row>
    <row r="2108" spans="1:10" ht="43.5" x14ac:dyDescent="0.35">
      <c r="A2108" s="195">
        <v>15</v>
      </c>
      <c r="B2108" s="195">
        <v>41</v>
      </c>
      <c r="C2108" s="195" t="s">
        <v>2630</v>
      </c>
      <c r="D2108" s="64">
        <v>4695</v>
      </c>
      <c r="E2108" s="195" t="s">
        <v>373</v>
      </c>
      <c r="F2108" s="71" t="s">
        <v>508</v>
      </c>
      <c r="G2108" s="71" t="s">
        <v>2512</v>
      </c>
      <c r="H2108" s="71" t="s">
        <v>2469</v>
      </c>
      <c r="I2108" s="71" t="s">
        <v>406</v>
      </c>
      <c r="J2108" s="71" t="s">
        <v>2466</v>
      </c>
    </row>
    <row r="2109" spans="1:10" ht="43.5" x14ac:dyDescent="0.35">
      <c r="A2109" s="195">
        <v>15</v>
      </c>
      <c r="B2109" s="195">
        <v>42</v>
      </c>
      <c r="C2109" s="195" t="s">
        <v>2631</v>
      </c>
      <c r="D2109" s="64">
        <v>111900</v>
      </c>
      <c r="E2109" s="195" t="s">
        <v>366</v>
      </c>
      <c r="F2109" s="71" t="s">
        <v>2508</v>
      </c>
      <c r="G2109" s="71" t="s">
        <v>2512</v>
      </c>
      <c r="H2109" s="71" t="s">
        <v>2581</v>
      </c>
      <c r="I2109" s="71" t="s">
        <v>1494</v>
      </c>
      <c r="J2109" s="71" t="s">
        <v>2443</v>
      </c>
    </row>
    <row r="2110" spans="1:10" ht="43.5" x14ac:dyDescent="0.35">
      <c r="A2110" s="195">
        <v>15</v>
      </c>
      <c r="B2110" s="195">
        <v>42</v>
      </c>
      <c r="C2110" s="195" t="s">
        <v>2632</v>
      </c>
      <c r="D2110" s="64">
        <v>34610</v>
      </c>
      <c r="E2110" s="195" t="s">
        <v>366</v>
      </c>
      <c r="F2110" s="71" t="s">
        <v>2510</v>
      </c>
      <c r="G2110" s="71" t="s">
        <v>2512</v>
      </c>
      <c r="H2110" s="71" t="s">
        <v>2581</v>
      </c>
      <c r="I2110" s="71" t="s">
        <v>1494</v>
      </c>
      <c r="J2110" s="71" t="s">
        <v>2443</v>
      </c>
    </row>
    <row r="2111" spans="1:10" ht="29" x14ac:dyDescent="0.35">
      <c r="A2111" s="195">
        <v>15</v>
      </c>
      <c r="B2111" s="195">
        <v>42</v>
      </c>
      <c r="C2111" s="195" t="s">
        <v>2633</v>
      </c>
      <c r="D2111" s="64">
        <v>22660</v>
      </c>
      <c r="E2111" s="195" t="s">
        <v>366</v>
      </c>
      <c r="F2111" s="71" t="s">
        <v>508</v>
      </c>
      <c r="G2111" s="71" t="s">
        <v>2512</v>
      </c>
      <c r="H2111" s="71" t="s">
        <v>2469</v>
      </c>
      <c r="I2111" s="71" t="s">
        <v>415</v>
      </c>
      <c r="J2111" s="71" t="s">
        <v>2443</v>
      </c>
    </row>
    <row r="2112" spans="1:10" ht="43.5" x14ac:dyDescent="0.35">
      <c r="A2112" s="195">
        <v>15</v>
      </c>
      <c r="B2112" s="195">
        <v>43</v>
      </c>
      <c r="C2112" s="195" t="s">
        <v>2634</v>
      </c>
      <c r="D2112" s="64">
        <v>3695</v>
      </c>
      <c r="E2112" s="195" t="s">
        <v>373</v>
      </c>
      <c r="F2112" s="71" t="s">
        <v>2508</v>
      </c>
      <c r="G2112" s="71" t="s">
        <v>2512</v>
      </c>
      <c r="H2112" s="71" t="s">
        <v>2581</v>
      </c>
      <c r="I2112" s="71" t="s">
        <v>1494</v>
      </c>
      <c r="J2112" s="71" t="s">
        <v>2460</v>
      </c>
    </row>
    <row r="2113" spans="1:10" ht="43.5" x14ac:dyDescent="0.35">
      <c r="A2113" s="195">
        <v>15</v>
      </c>
      <c r="B2113" s="195">
        <v>43</v>
      </c>
      <c r="C2113" s="195" t="s">
        <v>2636</v>
      </c>
      <c r="D2113" s="64">
        <v>1015</v>
      </c>
      <c r="E2113" s="195" t="s">
        <v>373</v>
      </c>
      <c r="F2113" s="71" t="s">
        <v>2510</v>
      </c>
      <c r="G2113" s="71" t="s">
        <v>2512</v>
      </c>
      <c r="H2113" s="71" t="s">
        <v>2581</v>
      </c>
      <c r="I2113" s="71" t="s">
        <v>1494</v>
      </c>
      <c r="J2113" s="71" t="s">
        <v>2460</v>
      </c>
    </row>
    <row r="2114" spans="1:10" ht="29" x14ac:dyDescent="0.35">
      <c r="A2114" s="195">
        <v>15</v>
      </c>
      <c r="B2114" s="195">
        <v>43</v>
      </c>
      <c r="C2114" s="195" t="s">
        <v>2635</v>
      </c>
      <c r="D2114" s="64">
        <v>4755</v>
      </c>
      <c r="E2114" s="195" t="s">
        <v>373</v>
      </c>
      <c r="F2114" s="71" t="s">
        <v>508</v>
      </c>
      <c r="G2114" s="71" t="s">
        <v>2512</v>
      </c>
      <c r="H2114" s="71" t="s">
        <v>2469</v>
      </c>
      <c r="I2114" s="71" t="s">
        <v>415</v>
      </c>
      <c r="J2114" s="71" t="s">
        <v>2460</v>
      </c>
    </row>
    <row r="2115" spans="1:10" ht="43.5" x14ac:dyDescent="0.35">
      <c r="A2115" s="195">
        <v>15</v>
      </c>
      <c r="B2115" s="195">
        <v>44</v>
      </c>
      <c r="C2115" s="195" t="s">
        <v>2637</v>
      </c>
      <c r="D2115" s="64">
        <v>26515</v>
      </c>
      <c r="E2115" s="195" t="s">
        <v>373</v>
      </c>
      <c r="F2115" s="71" t="s">
        <v>2508</v>
      </c>
      <c r="G2115" s="71" t="s">
        <v>2512</v>
      </c>
      <c r="H2115" s="71" t="s">
        <v>2581</v>
      </c>
      <c r="I2115" s="71" t="s">
        <v>1494</v>
      </c>
      <c r="J2115" s="71" t="s">
        <v>2463</v>
      </c>
    </row>
    <row r="2116" spans="1:10" ht="43.5" x14ac:dyDescent="0.35">
      <c r="A2116" s="195">
        <v>15</v>
      </c>
      <c r="B2116" s="195">
        <v>44</v>
      </c>
      <c r="C2116" s="195" t="s">
        <v>2638</v>
      </c>
      <c r="D2116" s="64">
        <v>9490</v>
      </c>
      <c r="E2116" s="195" t="s">
        <v>373</v>
      </c>
      <c r="F2116" s="71" t="s">
        <v>2510</v>
      </c>
      <c r="G2116" s="71" t="s">
        <v>2512</v>
      </c>
      <c r="H2116" s="71" t="s">
        <v>2581</v>
      </c>
      <c r="I2116" s="71" t="s">
        <v>1494</v>
      </c>
      <c r="J2116" s="71" t="s">
        <v>2463</v>
      </c>
    </row>
    <row r="2117" spans="1:10" ht="29" x14ac:dyDescent="0.35">
      <c r="A2117" s="195">
        <v>15</v>
      </c>
      <c r="B2117" s="195">
        <v>44</v>
      </c>
      <c r="C2117" s="195" t="s">
        <v>2639</v>
      </c>
      <c r="D2117" s="64">
        <v>10300</v>
      </c>
      <c r="E2117" s="195" t="s">
        <v>373</v>
      </c>
      <c r="F2117" s="71" t="s">
        <v>508</v>
      </c>
      <c r="G2117" s="71" t="s">
        <v>2512</v>
      </c>
      <c r="H2117" s="71" t="s">
        <v>2469</v>
      </c>
      <c r="I2117" s="71" t="s">
        <v>415</v>
      </c>
      <c r="J2117" s="71" t="s">
        <v>2463</v>
      </c>
    </row>
    <row r="2118" spans="1:10" ht="43.5" x14ac:dyDescent="0.35">
      <c r="A2118" s="195">
        <v>15</v>
      </c>
      <c r="B2118" s="195">
        <v>45</v>
      </c>
      <c r="C2118" s="195" t="s">
        <v>2640</v>
      </c>
      <c r="D2118" s="64">
        <v>81690</v>
      </c>
      <c r="E2118" s="195" t="s">
        <v>373</v>
      </c>
      <c r="F2118" s="71" t="s">
        <v>2508</v>
      </c>
      <c r="G2118" s="71" t="s">
        <v>2512</v>
      </c>
      <c r="H2118" s="71" t="s">
        <v>2581</v>
      </c>
      <c r="I2118" s="71" t="s">
        <v>1494</v>
      </c>
      <c r="J2118" s="71" t="s">
        <v>2466</v>
      </c>
    </row>
    <row r="2119" spans="1:10" ht="43.5" x14ac:dyDescent="0.35">
      <c r="A2119" s="195">
        <v>15</v>
      </c>
      <c r="B2119" s="195">
        <v>45</v>
      </c>
      <c r="C2119" s="195" t="s">
        <v>2642</v>
      </c>
      <c r="D2119" s="64">
        <v>24110</v>
      </c>
      <c r="E2119" s="195" t="s">
        <v>373</v>
      </c>
      <c r="F2119" s="71" t="s">
        <v>2510</v>
      </c>
      <c r="G2119" s="71" t="s">
        <v>2512</v>
      </c>
      <c r="H2119" s="71" t="s">
        <v>2581</v>
      </c>
      <c r="I2119" s="71" t="s">
        <v>1494</v>
      </c>
      <c r="J2119" s="71" t="s">
        <v>2466</v>
      </c>
    </row>
    <row r="2120" spans="1:10" ht="29" x14ac:dyDescent="0.35">
      <c r="A2120" s="195">
        <v>15</v>
      </c>
      <c r="B2120" s="195">
        <v>45</v>
      </c>
      <c r="C2120" s="195" t="s">
        <v>2641</v>
      </c>
      <c r="D2120" s="64">
        <v>7605</v>
      </c>
      <c r="E2120" s="195" t="s">
        <v>373</v>
      </c>
      <c r="F2120" s="71" t="s">
        <v>508</v>
      </c>
      <c r="G2120" s="71" t="s">
        <v>2512</v>
      </c>
      <c r="H2120" s="71" t="s">
        <v>2469</v>
      </c>
      <c r="I2120" s="71" t="s">
        <v>415</v>
      </c>
      <c r="J2120" s="71" t="s">
        <v>2466</v>
      </c>
    </row>
    <row r="2121" spans="1:10" ht="29" x14ac:dyDescent="0.35">
      <c r="A2121" s="195">
        <v>15</v>
      </c>
      <c r="B2121" s="195">
        <v>46</v>
      </c>
      <c r="C2121" s="195" t="s">
        <v>2646</v>
      </c>
      <c r="D2121" s="64">
        <v>93610</v>
      </c>
      <c r="E2121" s="195" t="s">
        <v>366</v>
      </c>
      <c r="F2121" s="71" t="s">
        <v>2508</v>
      </c>
      <c r="G2121" s="71" t="s">
        <v>2512</v>
      </c>
      <c r="H2121" s="71" t="s">
        <v>2645</v>
      </c>
      <c r="I2121" s="71" t="s">
        <v>363</v>
      </c>
      <c r="J2121" s="71" t="s">
        <v>2443</v>
      </c>
    </row>
    <row r="2122" spans="1:10" ht="29" x14ac:dyDescent="0.35">
      <c r="A2122" s="195">
        <v>15</v>
      </c>
      <c r="B2122" s="195">
        <v>46</v>
      </c>
      <c r="C2122" s="195" t="s">
        <v>2644</v>
      </c>
      <c r="D2122" s="64">
        <v>43115</v>
      </c>
      <c r="E2122" s="195" t="s">
        <v>366</v>
      </c>
      <c r="F2122" s="71" t="s">
        <v>2510</v>
      </c>
      <c r="G2122" s="71" t="s">
        <v>2512</v>
      </c>
      <c r="H2122" s="71" t="s">
        <v>2645</v>
      </c>
      <c r="I2122" s="71" t="s">
        <v>363</v>
      </c>
      <c r="J2122" s="71" t="s">
        <v>2443</v>
      </c>
    </row>
    <row r="2123" spans="1:10" ht="29" x14ac:dyDescent="0.35">
      <c r="A2123" s="195">
        <v>15</v>
      </c>
      <c r="B2123" s="195">
        <v>46</v>
      </c>
      <c r="C2123" s="195" t="s">
        <v>2643</v>
      </c>
      <c r="D2123" s="64">
        <v>344820</v>
      </c>
      <c r="E2123" s="195" t="s">
        <v>366</v>
      </c>
      <c r="F2123" s="71" t="s">
        <v>508</v>
      </c>
      <c r="G2123" s="71" t="s">
        <v>2512</v>
      </c>
      <c r="H2123" s="71" t="s">
        <v>2479</v>
      </c>
      <c r="I2123" s="71" t="s">
        <v>363</v>
      </c>
      <c r="J2123" s="71" t="s">
        <v>2443</v>
      </c>
    </row>
    <row r="2124" spans="1:10" ht="43.5" x14ac:dyDescent="0.35">
      <c r="A2124" s="195">
        <v>15</v>
      </c>
      <c r="B2124" s="195">
        <v>47</v>
      </c>
      <c r="C2124" s="195" t="s">
        <v>2647</v>
      </c>
      <c r="D2124" s="64">
        <v>3870</v>
      </c>
      <c r="E2124" s="195" t="s">
        <v>366</v>
      </c>
      <c r="F2124" s="71" t="s">
        <v>2508</v>
      </c>
      <c r="G2124" s="71" t="s">
        <v>2512</v>
      </c>
      <c r="H2124" s="71" t="s">
        <v>2645</v>
      </c>
      <c r="I2124" s="71" t="s">
        <v>1377</v>
      </c>
      <c r="J2124" s="71" t="s">
        <v>2443</v>
      </c>
    </row>
    <row r="2125" spans="1:10" ht="43.5" x14ac:dyDescent="0.35">
      <c r="A2125" s="195">
        <v>15</v>
      </c>
      <c r="B2125" s="195">
        <v>47</v>
      </c>
      <c r="C2125" s="195" t="s">
        <v>2648</v>
      </c>
      <c r="D2125" s="64">
        <v>5280</v>
      </c>
      <c r="E2125" s="195" t="s">
        <v>366</v>
      </c>
      <c r="F2125" s="71" t="s">
        <v>2510</v>
      </c>
      <c r="G2125" s="71" t="s">
        <v>2512</v>
      </c>
      <c r="H2125" s="71" t="s">
        <v>2645</v>
      </c>
      <c r="I2125" s="71" t="s">
        <v>1377</v>
      </c>
      <c r="J2125" s="71" t="s">
        <v>2443</v>
      </c>
    </row>
    <row r="2126" spans="1:10" ht="29" x14ac:dyDescent="0.35">
      <c r="A2126" s="195">
        <v>15</v>
      </c>
      <c r="B2126" s="195">
        <v>47</v>
      </c>
      <c r="C2126" s="195" t="s">
        <v>2649</v>
      </c>
      <c r="D2126" s="64">
        <v>83155</v>
      </c>
      <c r="E2126" s="195" t="s">
        <v>366</v>
      </c>
      <c r="F2126" s="71" t="s">
        <v>508</v>
      </c>
      <c r="G2126" s="71" t="s">
        <v>2512</v>
      </c>
      <c r="H2126" s="71" t="s">
        <v>2479</v>
      </c>
      <c r="I2126" s="71" t="s">
        <v>371</v>
      </c>
      <c r="J2126" s="71" t="s">
        <v>2443</v>
      </c>
    </row>
    <row r="2127" spans="1:10" ht="43.5" x14ac:dyDescent="0.35">
      <c r="A2127" s="195">
        <v>15</v>
      </c>
      <c r="B2127" s="195">
        <v>48</v>
      </c>
      <c r="C2127" s="195" t="s">
        <v>2650</v>
      </c>
      <c r="D2127" s="195">
        <v>485</v>
      </c>
      <c r="E2127" s="195" t="s">
        <v>373</v>
      </c>
      <c r="F2127" s="71" t="s">
        <v>2508</v>
      </c>
      <c r="G2127" s="71" t="s">
        <v>2512</v>
      </c>
      <c r="H2127" s="71" t="s">
        <v>2645</v>
      </c>
      <c r="I2127" s="71" t="s">
        <v>1377</v>
      </c>
      <c r="J2127" s="71" t="s">
        <v>2460</v>
      </c>
    </row>
    <row r="2128" spans="1:10" ht="43.5" x14ac:dyDescent="0.35">
      <c r="A2128" s="195">
        <v>15</v>
      </c>
      <c r="B2128" s="195">
        <v>48</v>
      </c>
      <c r="C2128" s="195" t="s">
        <v>2651</v>
      </c>
      <c r="D2128" s="195">
        <v>535</v>
      </c>
      <c r="E2128" s="195" t="s">
        <v>373</v>
      </c>
      <c r="F2128" s="71" t="s">
        <v>2510</v>
      </c>
      <c r="G2128" s="71" t="s">
        <v>2512</v>
      </c>
      <c r="H2128" s="71" t="s">
        <v>2645</v>
      </c>
      <c r="I2128" s="71" t="s">
        <v>1377</v>
      </c>
      <c r="J2128" s="71" t="s">
        <v>2460</v>
      </c>
    </row>
    <row r="2129" spans="1:10" ht="29" x14ac:dyDescent="0.35">
      <c r="A2129" s="195">
        <v>15</v>
      </c>
      <c r="B2129" s="195">
        <v>48</v>
      </c>
      <c r="C2129" s="195" t="s">
        <v>2652</v>
      </c>
      <c r="D2129" s="64">
        <v>32495</v>
      </c>
      <c r="E2129" s="195" t="s">
        <v>373</v>
      </c>
      <c r="F2129" s="71" t="s">
        <v>508</v>
      </c>
      <c r="G2129" s="71" t="s">
        <v>2512</v>
      </c>
      <c r="H2129" s="71" t="s">
        <v>2479</v>
      </c>
      <c r="I2129" s="71" t="s">
        <v>371</v>
      </c>
      <c r="J2129" s="71" t="s">
        <v>2460</v>
      </c>
    </row>
    <row r="2130" spans="1:10" ht="43.5" x14ac:dyDescent="0.35">
      <c r="A2130" s="195">
        <v>15</v>
      </c>
      <c r="B2130" s="195">
        <v>49</v>
      </c>
      <c r="C2130" s="195" t="s">
        <v>2654</v>
      </c>
      <c r="D2130" s="195">
        <v>975</v>
      </c>
      <c r="E2130" s="195" t="s">
        <v>373</v>
      </c>
      <c r="F2130" s="71" t="s">
        <v>2508</v>
      </c>
      <c r="G2130" s="71" t="s">
        <v>2512</v>
      </c>
      <c r="H2130" s="71" t="s">
        <v>2645</v>
      </c>
      <c r="I2130" s="71" t="s">
        <v>1377</v>
      </c>
      <c r="J2130" s="71" t="s">
        <v>2463</v>
      </c>
    </row>
    <row r="2131" spans="1:10" ht="43.5" x14ac:dyDescent="0.35">
      <c r="A2131" s="195">
        <v>15</v>
      </c>
      <c r="B2131" s="195">
        <v>49</v>
      </c>
      <c r="C2131" s="195" t="s">
        <v>2655</v>
      </c>
      <c r="D2131" s="64">
        <v>1430</v>
      </c>
      <c r="E2131" s="195" t="s">
        <v>373</v>
      </c>
      <c r="F2131" s="71" t="s">
        <v>2510</v>
      </c>
      <c r="G2131" s="71" t="s">
        <v>2512</v>
      </c>
      <c r="H2131" s="71" t="s">
        <v>2645</v>
      </c>
      <c r="I2131" s="71" t="s">
        <v>1377</v>
      </c>
      <c r="J2131" s="71" t="s">
        <v>2463</v>
      </c>
    </row>
    <row r="2132" spans="1:10" ht="29" x14ac:dyDescent="0.35">
      <c r="A2132" s="195">
        <v>15</v>
      </c>
      <c r="B2132" s="195">
        <v>49</v>
      </c>
      <c r="C2132" s="195" t="s">
        <v>2653</v>
      </c>
      <c r="D2132" s="64">
        <v>29785</v>
      </c>
      <c r="E2132" s="195" t="s">
        <v>373</v>
      </c>
      <c r="F2132" s="71" t="s">
        <v>508</v>
      </c>
      <c r="G2132" s="71" t="s">
        <v>2512</v>
      </c>
      <c r="H2132" s="71" t="s">
        <v>2479</v>
      </c>
      <c r="I2132" s="71" t="s">
        <v>371</v>
      </c>
      <c r="J2132" s="71" t="s">
        <v>2463</v>
      </c>
    </row>
    <row r="2133" spans="1:10" ht="43.5" x14ac:dyDescent="0.35">
      <c r="A2133" s="195">
        <v>15</v>
      </c>
      <c r="B2133" s="195">
        <v>50</v>
      </c>
      <c r="C2133" s="195" t="s">
        <v>2658</v>
      </c>
      <c r="D2133" s="64">
        <v>2410</v>
      </c>
      <c r="E2133" s="195" t="s">
        <v>373</v>
      </c>
      <c r="F2133" s="71" t="s">
        <v>2508</v>
      </c>
      <c r="G2133" s="71" t="s">
        <v>2512</v>
      </c>
      <c r="H2133" s="71" t="s">
        <v>2645</v>
      </c>
      <c r="I2133" s="71" t="s">
        <v>1377</v>
      </c>
      <c r="J2133" s="71" t="s">
        <v>2466</v>
      </c>
    </row>
    <row r="2134" spans="1:10" ht="43.5" x14ac:dyDescent="0.35">
      <c r="A2134" s="195">
        <v>15</v>
      </c>
      <c r="B2134" s="195">
        <v>50</v>
      </c>
      <c r="C2134" s="195" t="s">
        <v>2656</v>
      </c>
      <c r="D2134" s="64">
        <v>3310</v>
      </c>
      <c r="E2134" s="195" t="s">
        <v>373</v>
      </c>
      <c r="F2134" s="71" t="s">
        <v>2510</v>
      </c>
      <c r="G2134" s="71" t="s">
        <v>2512</v>
      </c>
      <c r="H2134" s="71" t="s">
        <v>2645</v>
      </c>
      <c r="I2134" s="71" t="s">
        <v>1377</v>
      </c>
      <c r="J2134" s="71" t="s">
        <v>2466</v>
      </c>
    </row>
    <row r="2135" spans="1:10" ht="29" x14ac:dyDescent="0.35">
      <c r="A2135" s="195">
        <v>15</v>
      </c>
      <c r="B2135" s="195">
        <v>50</v>
      </c>
      <c r="C2135" s="195" t="s">
        <v>2657</v>
      </c>
      <c r="D2135" s="64">
        <v>20875</v>
      </c>
      <c r="E2135" s="195" t="s">
        <v>373</v>
      </c>
      <c r="F2135" s="71" t="s">
        <v>508</v>
      </c>
      <c r="G2135" s="71" t="s">
        <v>2512</v>
      </c>
      <c r="H2135" s="71" t="s">
        <v>2479</v>
      </c>
      <c r="I2135" s="71" t="s">
        <v>371</v>
      </c>
      <c r="J2135" s="71" t="s">
        <v>2466</v>
      </c>
    </row>
    <row r="2136" spans="1:10" ht="43.5" x14ac:dyDescent="0.35">
      <c r="A2136" s="195">
        <v>15</v>
      </c>
      <c r="B2136" s="195">
        <v>51</v>
      </c>
      <c r="C2136" s="195" t="s">
        <v>2660</v>
      </c>
      <c r="D2136" s="64">
        <v>5440</v>
      </c>
      <c r="E2136" s="195" t="s">
        <v>366</v>
      </c>
      <c r="F2136" s="71" t="s">
        <v>2508</v>
      </c>
      <c r="G2136" s="71" t="s">
        <v>2512</v>
      </c>
      <c r="H2136" s="71" t="s">
        <v>2645</v>
      </c>
      <c r="I2136" s="71" t="s">
        <v>1413</v>
      </c>
      <c r="J2136" s="71" t="s">
        <v>2443</v>
      </c>
    </row>
    <row r="2137" spans="1:10" ht="43.5" x14ac:dyDescent="0.35">
      <c r="A2137" s="195">
        <v>15</v>
      </c>
      <c r="B2137" s="195">
        <v>51</v>
      </c>
      <c r="C2137" s="195" t="s">
        <v>2661</v>
      </c>
      <c r="D2137" s="64">
        <v>6355</v>
      </c>
      <c r="E2137" s="195" t="s">
        <v>366</v>
      </c>
      <c r="F2137" s="71" t="s">
        <v>2510</v>
      </c>
      <c r="G2137" s="71" t="s">
        <v>2512</v>
      </c>
      <c r="H2137" s="71" t="s">
        <v>2645</v>
      </c>
      <c r="I2137" s="71" t="s">
        <v>1413</v>
      </c>
      <c r="J2137" s="71" t="s">
        <v>2443</v>
      </c>
    </row>
    <row r="2138" spans="1:10" ht="43.5" x14ac:dyDescent="0.35">
      <c r="A2138" s="195">
        <v>15</v>
      </c>
      <c r="B2138" s="195">
        <v>51</v>
      </c>
      <c r="C2138" s="195" t="s">
        <v>2659</v>
      </c>
      <c r="D2138" s="64">
        <v>61250</v>
      </c>
      <c r="E2138" s="195" t="s">
        <v>366</v>
      </c>
      <c r="F2138" s="71" t="s">
        <v>508</v>
      </c>
      <c r="G2138" s="71" t="s">
        <v>2512</v>
      </c>
      <c r="H2138" s="71" t="s">
        <v>2479</v>
      </c>
      <c r="I2138" s="71" t="s">
        <v>388</v>
      </c>
      <c r="J2138" s="71" t="s">
        <v>2443</v>
      </c>
    </row>
    <row r="2139" spans="1:10" ht="43.5" x14ac:dyDescent="0.35">
      <c r="A2139" s="195">
        <v>15</v>
      </c>
      <c r="B2139" s="195">
        <v>52</v>
      </c>
      <c r="C2139" s="195" t="s">
        <v>2664</v>
      </c>
      <c r="D2139" s="195">
        <v>365</v>
      </c>
      <c r="E2139" s="195" t="s">
        <v>373</v>
      </c>
      <c r="F2139" s="71" t="s">
        <v>2508</v>
      </c>
      <c r="G2139" s="71" t="s">
        <v>2512</v>
      </c>
      <c r="H2139" s="71" t="s">
        <v>2645</v>
      </c>
      <c r="I2139" s="71" t="s">
        <v>1413</v>
      </c>
      <c r="J2139" s="71" t="s">
        <v>2460</v>
      </c>
    </row>
    <row r="2140" spans="1:10" ht="43.5" x14ac:dyDescent="0.35">
      <c r="A2140" s="195">
        <v>15</v>
      </c>
      <c r="B2140" s="195">
        <v>52</v>
      </c>
      <c r="C2140" s="195" t="s">
        <v>2662</v>
      </c>
      <c r="D2140" s="195">
        <v>395</v>
      </c>
      <c r="E2140" s="195" t="s">
        <v>373</v>
      </c>
      <c r="F2140" s="71" t="s">
        <v>2510</v>
      </c>
      <c r="G2140" s="71" t="s">
        <v>2512</v>
      </c>
      <c r="H2140" s="71" t="s">
        <v>2645</v>
      </c>
      <c r="I2140" s="71" t="s">
        <v>1413</v>
      </c>
      <c r="J2140" s="71" t="s">
        <v>2460</v>
      </c>
    </row>
    <row r="2141" spans="1:10" ht="43.5" x14ac:dyDescent="0.35">
      <c r="A2141" s="195">
        <v>15</v>
      </c>
      <c r="B2141" s="195">
        <v>52</v>
      </c>
      <c r="C2141" s="195" t="s">
        <v>2663</v>
      </c>
      <c r="D2141" s="64">
        <v>22290</v>
      </c>
      <c r="E2141" s="195" t="s">
        <v>373</v>
      </c>
      <c r="F2141" s="71" t="s">
        <v>508</v>
      </c>
      <c r="G2141" s="71" t="s">
        <v>2512</v>
      </c>
      <c r="H2141" s="71" t="s">
        <v>2479</v>
      </c>
      <c r="I2141" s="71" t="s">
        <v>388</v>
      </c>
      <c r="J2141" s="71" t="s">
        <v>2460</v>
      </c>
    </row>
    <row r="2142" spans="1:10" ht="43.5" x14ac:dyDescent="0.35">
      <c r="A2142" s="195">
        <v>15</v>
      </c>
      <c r="B2142" s="195">
        <v>53</v>
      </c>
      <c r="C2142" s="195" t="s">
        <v>2667</v>
      </c>
      <c r="D2142" s="64">
        <v>1415</v>
      </c>
      <c r="E2142" s="195" t="s">
        <v>373</v>
      </c>
      <c r="F2142" s="71" t="s">
        <v>2508</v>
      </c>
      <c r="G2142" s="71" t="s">
        <v>2512</v>
      </c>
      <c r="H2142" s="71" t="s">
        <v>2645</v>
      </c>
      <c r="I2142" s="71" t="s">
        <v>1413</v>
      </c>
      <c r="J2142" s="71" t="s">
        <v>2463</v>
      </c>
    </row>
    <row r="2143" spans="1:10" ht="43.5" x14ac:dyDescent="0.35">
      <c r="A2143" s="195">
        <v>15</v>
      </c>
      <c r="B2143" s="195">
        <v>53</v>
      </c>
      <c r="C2143" s="195" t="s">
        <v>2665</v>
      </c>
      <c r="D2143" s="64">
        <v>1570</v>
      </c>
      <c r="E2143" s="195" t="s">
        <v>373</v>
      </c>
      <c r="F2143" s="71" t="s">
        <v>2510</v>
      </c>
      <c r="G2143" s="71" t="s">
        <v>2512</v>
      </c>
      <c r="H2143" s="71" t="s">
        <v>2645</v>
      </c>
      <c r="I2143" s="71" t="s">
        <v>1413</v>
      </c>
      <c r="J2143" s="71" t="s">
        <v>2463</v>
      </c>
    </row>
    <row r="2144" spans="1:10" ht="43.5" x14ac:dyDescent="0.35">
      <c r="A2144" s="195">
        <v>15</v>
      </c>
      <c r="B2144" s="195">
        <v>53</v>
      </c>
      <c r="C2144" s="195" t="s">
        <v>2666</v>
      </c>
      <c r="D2144" s="64">
        <v>24145</v>
      </c>
      <c r="E2144" s="195" t="s">
        <v>373</v>
      </c>
      <c r="F2144" s="71" t="s">
        <v>508</v>
      </c>
      <c r="G2144" s="71" t="s">
        <v>2512</v>
      </c>
      <c r="H2144" s="71" t="s">
        <v>2479</v>
      </c>
      <c r="I2144" s="71" t="s">
        <v>388</v>
      </c>
      <c r="J2144" s="71" t="s">
        <v>2463</v>
      </c>
    </row>
    <row r="2145" spans="1:10" ht="43.5" x14ac:dyDescent="0.35">
      <c r="A2145" s="195">
        <v>15</v>
      </c>
      <c r="B2145" s="195">
        <v>54</v>
      </c>
      <c r="C2145" s="195" t="s">
        <v>2669</v>
      </c>
      <c r="D2145" s="64">
        <v>3660</v>
      </c>
      <c r="E2145" s="195" t="s">
        <v>373</v>
      </c>
      <c r="F2145" s="71" t="s">
        <v>2508</v>
      </c>
      <c r="G2145" s="71" t="s">
        <v>2512</v>
      </c>
      <c r="H2145" s="71" t="s">
        <v>2645</v>
      </c>
      <c r="I2145" s="71" t="s">
        <v>1413</v>
      </c>
      <c r="J2145" s="71" t="s">
        <v>2466</v>
      </c>
    </row>
    <row r="2146" spans="1:10" ht="43.5" x14ac:dyDescent="0.35">
      <c r="A2146" s="195">
        <v>15</v>
      </c>
      <c r="B2146" s="195">
        <v>54</v>
      </c>
      <c r="C2146" s="195" t="s">
        <v>2670</v>
      </c>
      <c r="D2146" s="64">
        <v>4390</v>
      </c>
      <c r="E2146" s="195" t="s">
        <v>373</v>
      </c>
      <c r="F2146" s="71" t="s">
        <v>2510</v>
      </c>
      <c r="G2146" s="71" t="s">
        <v>2512</v>
      </c>
      <c r="H2146" s="71" t="s">
        <v>2645</v>
      </c>
      <c r="I2146" s="71" t="s">
        <v>1413</v>
      </c>
      <c r="J2146" s="71" t="s">
        <v>2466</v>
      </c>
    </row>
    <row r="2147" spans="1:10" ht="43.5" x14ac:dyDescent="0.35">
      <c r="A2147" s="195">
        <v>15</v>
      </c>
      <c r="B2147" s="195">
        <v>54</v>
      </c>
      <c r="C2147" s="195" t="s">
        <v>2668</v>
      </c>
      <c r="D2147" s="64">
        <v>14815</v>
      </c>
      <c r="E2147" s="195" t="s">
        <v>373</v>
      </c>
      <c r="F2147" s="71" t="s">
        <v>508</v>
      </c>
      <c r="G2147" s="71" t="s">
        <v>2512</v>
      </c>
      <c r="H2147" s="71" t="s">
        <v>2479</v>
      </c>
      <c r="I2147" s="71" t="s">
        <v>388</v>
      </c>
      <c r="J2147" s="71" t="s">
        <v>2466</v>
      </c>
    </row>
    <row r="2148" spans="1:10" ht="43.5" x14ac:dyDescent="0.35">
      <c r="A2148" s="195">
        <v>15</v>
      </c>
      <c r="B2148" s="195">
        <v>55</v>
      </c>
      <c r="C2148" s="195" t="s">
        <v>2671</v>
      </c>
      <c r="D2148" s="64">
        <v>11250</v>
      </c>
      <c r="E2148" s="195" t="s">
        <v>366</v>
      </c>
      <c r="F2148" s="71" t="s">
        <v>2508</v>
      </c>
      <c r="G2148" s="71" t="s">
        <v>2512</v>
      </c>
      <c r="H2148" s="71" t="s">
        <v>2645</v>
      </c>
      <c r="I2148" s="71" t="s">
        <v>1440</v>
      </c>
      <c r="J2148" s="71" t="s">
        <v>2443</v>
      </c>
    </row>
    <row r="2149" spans="1:10" ht="43.5" x14ac:dyDescent="0.35">
      <c r="A2149" s="195">
        <v>15</v>
      </c>
      <c r="B2149" s="195">
        <v>55</v>
      </c>
      <c r="C2149" s="195" t="s">
        <v>2673</v>
      </c>
      <c r="D2149" s="64">
        <v>7510</v>
      </c>
      <c r="E2149" s="195" t="s">
        <v>366</v>
      </c>
      <c r="F2149" s="71" t="s">
        <v>2510</v>
      </c>
      <c r="G2149" s="71" t="s">
        <v>2512</v>
      </c>
      <c r="H2149" s="71" t="s">
        <v>2645</v>
      </c>
      <c r="I2149" s="71" t="s">
        <v>1440</v>
      </c>
      <c r="J2149" s="71" t="s">
        <v>2443</v>
      </c>
    </row>
    <row r="2150" spans="1:10" ht="43.5" x14ac:dyDescent="0.35">
      <c r="A2150" s="195">
        <v>15</v>
      </c>
      <c r="B2150" s="195">
        <v>55</v>
      </c>
      <c r="C2150" s="195" t="s">
        <v>2672</v>
      </c>
      <c r="D2150" s="64">
        <v>77095</v>
      </c>
      <c r="E2150" s="195" t="s">
        <v>366</v>
      </c>
      <c r="F2150" s="71" t="s">
        <v>508</v>
      </c>
      <c r="G2150" s="71" t="s">
        <v>2512</v>
      </c>
      <c r="H2150" s="71" t="s">
        <v>2479</v>
      </c>
      <c r="I2150" s="71" t="s">
        <v>397</v>
      </c>
      <c r="J2150" s="71" t="s">
        <v>2443</v>
      </c>
    </row>
    <row r="2151" spans="1:10" ht="43.5" x14ac:dyDescent="0.35">
      <c r="A2151" s="195">
        <v>15</v>
      </c>
      <c r="B2151" s="195">
        <v>56</v>
      </c>
      <c r="C2151" s="195" t="s">
        <v>2674</v>
      </c>
      <c r="D2151" s="195">
        <v>800</v>
      </c>
      <c r="E2151" s="195" t="s">
        <v>373</v>
      </c>
      <c r="F2151" s="71" t="s">
        <v>2508</v>
      </c>
      <c r="G2151" s="71" t="s">
        <v>2512</v>
      </c>
      <c r="H2151" s="71" t="s">
        <v>2645</v>
      </c>
      <c r="I2151" s="71" t="s">
        <v>1440</v>
      </c>
      <c r="J2151" s="71" t="s">
        <v>2460</v>
      </c>
    </row>
    <row r="2152" spans="1:10" ht="43.5" x14ac:dyDescent="0.35">
      <c r="A2152" s="195">
        <v>15</v>
      </c>
      <c r="B2152" s="195">
        <v>56</v>
      </c>
      <c r="C2152" s="195" t="s">
        <v>2676</v>
      </c>
      <c r="D2152" s="195">
        <v>375</v>
      </c>
      <c r="E2152" s="195" t="s">
        <v>373</v>
      </c>
      <c r="F2152" s="71" t="s">
        <v>2510</v>
      </c>
      <c r="G2152" s="71" t="s">
        <v>2512</v>
      </c>
      <c r="H2152" s="71" t="s">
        <v>2645</v>
      </c>
      <c r="I2152" s="71" t="s">
        <v>1440</v>
      </c>
      <c r="J2152" s="71" t="s">
        <v>2460</v>
      </c>
    </row>
    <row r="2153" spans="1:10" ht="43.5" x14ac:dyDescent="0.35">
      <c r="A2153" s="195">
        <v>15</v>
      </c>
      <c r="B2153" s="195">
        <v>56</v>
      </c>
      <c r="C2153" s="195" t="s">
        <v>2675</v>
      </c>
      <c r="D2153" s="64">
        <v>30735</v>
      </c>
      <c r="E2153" s="195" t="s">
        <v>373</v>
      </c>
      <c r="F2153" s="71" t="s">
        <v>508</v>
      </c>
      <c r="G2153" s="71" t="s">
        <v>2512</v>
      </c>
      <c r="H2153" s="71" t="s">
        <v>2479</v>
      </c>
      <c r="I2153" s="71" t="s">
        <v>397</v>
      </c>
      <c r="J2153" s="71" t="s">
        <v>2460</v>
      </c>
    </row>
    <row r="2154" spans="1:10" ht="43.5" x14ac:dyDescent="0.35">
      <c r="A2154" s="195">
        <v>15</v>
      </c>
      <c r="B2154" s="195">
        <v>57</v>
      </c>
      <c r="C2154" s="195" t="s">
        <v>2679</v>
      </c>
      <c r="D2154" s="64">
        <v>2635</v>
      </c>
      <c r="E2154" s="195" t="s">
        <v>373</v>
      </c>
      <c r="F2154" s="71" t="s">
        <v>2508</v>
      </c>
      <c r="G2154" s="71" t="s">
        <v>2512</v>
      </c>
      <c r="H2154" s="71" t="s">
        <v>2645</v>
      </c>
      <c r="I2154" s="71" t="s">
        <v>1440</v>
      </c>
      <c r="J2154" s="71" t="s">
        <v>2463</v>
      </c>
    </row>
    <row r="2155" spans="1:10" ht="43.5" x14ac:dyDescent="0.35">
      <c r="A2155" s="195">
        <v>15</v>
      </c>
      <c r="B2155" s="195">
        <v>57</v>
      </c>
      <c r="C2155" s="195" t="s">
        <v>2677</v>
      </c>
      <c r="D2155" s="64">
        <v>2040</v>
      </c>
      <c r="E2155" s="195" t="s">
        <v>373</v>
      </c>
      <c r="F2155" s="71" t="s">
        <v>2510</v>
      </c>
      <c r="G2155" s="71" t="s">
        <v>2512</v>
      </c>
      <c r="H2155" s="71" t="s">
        <v>2645</v>
      </c>
      <c r="I2155" s="71" t="s">
        <v>1440</v>
      </c>
      <c r="J2155" s="71" t="s">
        <v>2463</v>
      </c>
    </row>
    <row r="2156" spans="1:10" ht="43.5" x14ac:dyDescent="0.35">
      <c r="A2156" s="195">
        <v>15</v>
      </c>
      <c r="B2156" s="195">
        <v>57</v>
      </c>
      <c r="C2156" s="195" t="s">
        <v>2678</v>
      </c>
      <c r="D2156" s="64">
        <v>29470</v>
      </c>
      <c r="E2156" s="195" t="s">
        <v>373</v>
      </c>
      <c r="F2156" s="71" t="s">
        <v>508</v>
      </c>
      <c r="G2156" s="71" t="s">
        <v>2512</v>
      </c>
      <c r="H2156" s="71" t="s">
        <v>2479</v>
      </c>
      <c r="I2156" s="71" t="s">
        <v>397</v>
      </c>
      <c r="J2156" s="71" t="s">
        <v>2463</v>
      </c>
    </row>
    <row r="2157" spans="1:10" ht="43.5" x14ac:dyDescent="0.35">
      <c r="A2157" s="195">
        <v>15</v>
      </c>
      <c r="B2157" s="195">
        <v>58</v>
      </c>
      <c r="C2157" s="195" t="s">
        <v>2680</v>
      </c>
      <c r="D2157" s="64">
        <v>7815</v>
      </c>
      <c r="E2157" s="195" t="s">
        <v>373</v>
      </c>
      <c r="F2157" s="71" t="s">
        <v>2508</v>
      </c>
      <c r="G2157" s="71" t="s">
        <v>2512</v>
      </c>
      <c r="H2157" s="71" t="s">
        <v>2645</v>
      </c>
      <c r="I2157" s="71" t="s">
        <v>1440</v>
      </c>
      <c r="J2157" s="71" t="s">
        <v>2466</v>
      </c>
    </row>
    <row r="2158" spans="1:10" ht="43.5" x14ac:dyDescent="0.35">
      <c r="A2158" s="195">
        <v>15</v>
      </c>
      <c r="B2158" s="195">
        <v>58</v>
      </c>
      <c r="C2158" s="195" t="s">
        <v>2682</v>
      </c>
      <c r="D2158" s="64">
        <v>5095</v>
      </c>
      <c r="E2158" s="195" t="s">
        <v>373</v>
      </c>
      <c r="F2158" s="71" t="s">
        <v>2510</v>
      </c>
      <c r="G2158" s="71" t="s">
        <v>2512</v>
      </c>
      <c r="H2158" s="71" t="s">
        <v>2645</v>
      </c>
      <c r="I2158" s="71" t="s">
        <v>1440</v>
      </c>
      <c r="J2158" s="71" t="s">
        <v>2466</v>
      </c>
    </row>
    <row r="2159" spans="1:10" ht="43.5" x14ac:dyDescent="0.35">
      <c r="A2159" s="195">
        <v>15</v>
      </c>
      <c r="B2159" s="195">
        <v>58</v>
      </c>
      <c r="C2159" s="195" t="s">
        <v>2681</v>
      </c>
      <c r="D2159" s="64">
        <v>16885</v>
      </c>
      <c r="E2159" s="195" t="s">
        <v>373</v>
      </c>
      <c r="F2159" s="71" t="s">
        <v>508</v>
      </c>
      <c r="G2159" s="71" t="s">
        <v>2512</v>
      </c>
      <c r="H2159" s="71" t="s">
        <v>2479</v>
      </c>
      <c r="I2159" s="71" t="s">
        <v>397</v>
      </c>
      <c r="J2159" s="71" t="s">
        <v>2466</v>
      </c>
    </row>
    <row r="2160" spans="1:10" ht="43.5" x14ac:dyDescent="0.35">
      <c r="A2160" s="195">
        <v>15</v>
      </c>
      <c r="B2160" s="195">
        <v>59</v>
      </c>
      <c r="C2160" s="195" t="s">
        <v>2685</v>
      </c>
      <c r="D2160" s="64">
        <v>9825</v>
      </c>
      <c r="E2160" s="195" t="s">
        <v>366</v>
      </c>
      <c r="F2160" s="71" t="s">
        <v>2508</v>
      </c>
      <c r="G2160" s="71" t="s">
        <v>2512</v>
      </c>
      <c r="H2160" s="71" t="s">
        <v>2645</v>
      </c>
      <c r="I2160" s="71" t="s">
        <v>1467</v>
      </c>
      <c r="J2160" s="71" t="s">
        <v>2443</v>
      </c>
    </row>
    <row r="2161" spans="1:10" ht="43.5" x14ac:dyDescent="0.35">
      <c r="A2161" s="195">
        <v>15</v>
      </c>
      <c r="B2161" s="195">
        <v>59</v>
      </c>
      <c r="C2161" s="195" t="s">
        <v>2683</v>
      </c>
      <c r="D2161" s="64">
        <v>4505</v>
      </c>
      <c r="E2161" s="195" t="s">
        <v>366</v>
      </c>
      <c r="F2161" s="71" t="s">
        <v>2510</v>
      </c>
      <c r="G2161" s="71" t="s">
        <v>2512</v>
      </c>
      <c r="H2161" s="71" t="s">
        <v>2645</v>
      </c>
      <c r="I2161" s="71" t="s">
        <v>1467</v>
      </c>
      <c r="J2161" s="71" t="s">
        <v>2443</v>
      </c>
    </row>
    <row r="2162" spans="1:10" ht="43.5" x14ac:dyDescent="0.35">
      <c r="A2162" s="195">
        <v>15</v>
      </c>
      <c r="B2162" s="195">
        <v>59</v>
      </c>
      <c r="C2162" s="195" t="s">
        <v>2684</v>
      </c>
      <c r="D2162" s="64">
        <v>38970</v>
      </c>
      <c r="E2162" s="195" t="s">
        <v>366</v>
      </c>
      <c r="F2162" s="71" t="s">
        <v>508</v>
      </c>
      <c r="G2162" s="71" t="s">
        <v>2512</v>
      </c>
      <c r="H2162" s="71" t="s">
        <v>2479</v>
      </c>
      <c r="I2162" s="71" t="s">
        <v>406</v>
      </c>
      <c r="J2162" s="71" t="s">
        <v>2443</v>
      </c>
    </row>
    <row r="2163" spans="1:10" ht="43.5" x14ac:dyDescent="0.35">
      <c r="A2163" s="195">
        <v>15</v>
      </c>
      <c r="B2163" s="195">
        <v>60</v>
      </c>
      <c r="C2163" s="195" t="s">
        <v>2688</v>
      </c>
      <c r="D2163" s="195">
        <v>905</v>
      </c>
      <c r="E2163" s="195" t="s">
        <v>373</v>
      </c>
      <c r="F2163" s="71" t="s">
        <v>2508</v>
      </c>
      <c r="G2163" s="71" t="s">
        <v>2512</v>
      </c>
      <c r="H2163" s="71" t="s">
        <v>2645</v>
      </c>
      <c r="I2163" s="71" t="s">
        <v>1467</v>
      </c>
      <c r="J2163" s="71" t="s">
        <v>2460</v>
      </c>
    </row>
    <row r="2164" spans="1:10" ht="43.5" x14ac:dyDescent="0.35">
      <c r="A2164" s="195">
        <v>15</v>
      </c>
      <c r="B2164" s="195">
        <v>60</v>
      </c>
      <c r="C2164" s="195" t="s">
        <v>2687</v>
      </c>
      <c r="D2164" s="195">
        <v>465</v>
      </c>
      <c r="E2164" s="195" t="s">
        <v>373</v>
      </c>
      <c r="F2164" s="71" t="s">
        <v>2510</v>
      </c>
      <c r="G2164" s="71" t="s">
        <v>2512</v>
      </c>
      <c r="H2164" s="71" t="s">
        <v>2645</v>
      </c>
      <c r="I2164" s="71" t="s">
        <v>1467</v>
      </c>
      <c r="J2164" s="71" t="s">
        <v>2460</v>
      </c>
    </row>
    <row r="2165" spans="1:10" ht="43.5" x14ac:dyDescent="0.35">
      <c r="A2165" s="195">
        <v>15</v>
      </c>
      <c r="B2165" s="195">
        <v>60</v>
      </c>
      <c r="C2165" s="195" t="s">
        <v>2686</v>
      </c>
      <c r="D2165" s="64">
        <v>15580</v>
      </c>
      <c r="E2165" s="195" t="s">
        <v>373</v>
      </c>
      <c r="F2165" s="71" t="s">
        <v>508</v>
      </c>
      <c r="G2165" s="71" t="s">
        <v>2512</v>
      </c>
      <c r="H2165" s="71" t="s">
        <v>2479</v>
      </c>
      <c r="I2165" s="71" t="s">
        <v>406</v>
      </c>
      <c r="J2165" s="71" t="s">
        <v>2460</v>
      </c>
    </row>
    <row r="2166" spans="1:10" ht="43.5" x14ac:dyDescent="0.35">
      <c r="A2166" s="195">
        <v>15</v>
      </c>
      <c r="B2166" s="195">
        <v>61</v>
      </c>
      <c r="C2166" s="195" t="s">
        <v>2690</v>
      </c>
      <c r="D2166" s="64">
        <v>1970</v>
      </c>
      <c r="E2166" s="195" t="s">
        <v>373</v>
      </c>
      <c r="F2166" s="71" t="s">
        <v>2508</v>
      </c>
      <c r="G2166" s="71" t="s">
        <v>2512</v>
      </c>
      <c r="H2166" s="71" t="s">
        <v>2645</v>
      </c>
      <c r="I2166" s="71" t="s">
        <v>1467</v>
      </c>
      <c r="J2166" s="71" t="s">
        <v>2463</v>
      </c>
    </row>
    <row r="2167" spans="1:10" ht="43.5" x14ac:dyDescent="0.35">
      <c r="A2167" s="195">
        <v>15</v>
      </c>
      <c r="B2167" s="195">
        <v>61</v>
      </c>
      <c r="C2167" s="195" t="s">
        <v>2689</v>
      </c>
      <c r="D2167" s="195">
        <v>925</v>
      </c>
      <c r="E2167" s="195" t="s">
        <v>373</v>
      </c>
      <c r="F2167" s="71" t="s">
        <v>2510</v>
      </c>
      <c r="G2167" s="71" t="s">
        <v>2512</v>
      </c>
      <c r="H2167" s="71" t="s">
        <v>2645</v>
      </c>
      <c r="I2167" s="71" t="s">
        <v>1467</v>
      </c>
      <c r="J2167" s="71" t="s">
        <v>2463</v>
      </c>
    </row>
    <row r="2168" spans="1:10" ht="43.5" x14ac:dyDescent="0.35">
      <c r="A2168" s="195">
        <v>15</v>
      </c>
      <c r="B2168" s="195">
        <v>61</v>
      </c>
      <c r="C2168" s="195" t="s">
        <v>2691</v>
      </c>
      <c r="D2168" s="64">
        <v>15290</v>
      </c>
      <c r="E2168" s="195" t="s">
        <v>373</v>
      </c>
      <c r="F2168" s="71" t="s">
        <v>508</v>
      </c>
      <c r="G2168" s="71" t="s">
        <v>2512</v>
      </c>
      <c r="H2168" s="71" t="s">
        <v>2479</v>
      </c>
      <c r="I2168" s="71" t="s">
        <v>406</v>
      </c>
      <c r="J2168" s="71" t="s">
        <v>2463</v>
      </c>
    </row>
    <row r="2169" spans="1:10" ht="43.5" x14ac:dyDescent="0.35">
      <c r="A2169" s="195">
        <v>15</v>
      </c>
      <c r="B2169" s="195">
        <v>62</v>
      </c>
      <c r="C2169" s="195" t="s">
        <v>2694</v>
      </c>
      <c r="D2169" s="64">
        <v>6955</v>
      </c>
      <c r="E2169" s="195" t="s">
        <v>373</v>
      </c>
      <c r="F2169" s="71" t="s">
        <v>2508</v>
      </c>
      <c r="G2169" s="71" t="s">
        <v>2512</v>
      </c>
      <c r="H2169" s="71" t="s">
        <v>2645</v>
      </c>
      <c r="I2169" s="71" t="s">
        <v>1467</v>
      </c>
      <c r="J2169" s="71" t="s">
        <v>2466</v>
      </c>
    </row>
    <row r="2170" spans="1:10" ht="43.5" x14ac:dyDescent="0.35">
      <c r="A2170" s="195">
        <v>15</v>
      </c>
      <c r="B2170" s="195">
        <v>62</v>
      </c>
      <c r="C2170" s="195" t="s">
        <v>2692</v>
      </c>
      <c r="D2170" s="64">
        <v>3120</v>
      </c>
      <c r="E2170" s="195" t="s">
        <v>373</v>
      </c>
      <c r="F2170" s="71" t="s">
        <v>2510</v>
      </c>
      <c r="G2170" s="71" t="s">
        <v>2512</v>
      </c>
      <c r="H2170" s="71" t="s">
        <v>2645</v>
      </c>
      <c r="I2170" s="71" t="s">
        <v>1467</v>
      </c>
      <c r="J2170" s="71" t="s">
        <v>2466</v>
      </c>
    </row>
    <row r="2171" spans="1:10" ht="43.5" x14ac:dyDescent="0.35">
      <c r="A2171" s="195">
        <v>15</v>
      </c>
      <c r="B2171" s="195">
        <v>62</v>
      </c>
      <c r="C2171" s="195" t="s">
        <v>2693</v>
      </c>
      <c r="D2171" s="64">
        <v>8100</v>
      </c>
      <c r="E2171" s="195" t="s">
        <v>373</v>
      </c>
      <c r="F2171" s="71" t="s">
        <v>508</v>
      </c>
      <c r="G2171" s="71" t="s">
        <v>2512</v>
      </c>
      <c r="H2171" s="71" t="s">
        <v>2479</v>
      </c>
      <c r="I2171" s="71" t="s">
        <v>406</v>
      </c>
      <c r="J2171" s="71" t="s">
        <v>2466</v>
      </c>
    </row>
    <row r="2172" spans="1:10" ht="43.5" x14ac:dyDescent="0.35">
      <c r="A2172" s="195">
        <v>15</v>
      </c>
      <c r="B2172" s="195">
        <v>63</v>
      </c>
      <c r="C2172" s="195" t="s">
        <v>2696</v>
      </c>
      <c r="D2172" s="64">
        <v>63225</v>
      </c>
      <c r="E2172" s="195" t="s">
        <v>366</v>
      </c>
      <c r="F2172" s="71" t="s">
        <v>2508</v>
      </c>
      <c r="G2172" s="71" t="s">
        <v>2512</v>
      </c>
      <c r="H2172" s="71" t="s">
        <v>2645</v>
      </c>
      <c r="I2172" s="71" t="s">
        <v>1494</v>
      </c>
      <c r="J2172" s="71" t="s">
        <v>2443</v>
      </c>
    </row>
    <row r="2173" spans="1:10" ht="43.5" x14ac:dyDescent="0.35">
      <c r="A2173" s="195">
        <v>15</v>
      </c>
      <c r="B2173" s="195">
        <v>63</v>
      </c>
      <c r="C2173" s="195" t="s">
        <v>2695</v>
      </c>
      <c r="D2173" s="64">
        <v>19465</v>
      </c>
      <c r="E2173" s="195" t="s">
        <v>366</v>
      </c>
      <c r="F2173" s="71" t="s">
        <v>2510</v>
      </c>
      <c r="G2173" s="71" t="s">
        <v>2512</v>
      </c>
      <c r="H2173" s="71" t="s">
        <v>2645</v>
      </c>
      <c r="I2173" s="71" t="s">
        <v>1494</v>
      </c>
      <c r="J2173" s="71" t="s">
        <v>2443</v>
      </c>
    </row>
    <row r="2174" spans="1:10" ht="29" x14ac:dyDescent="0.35">
      <c r="A2174" s="195">
        <v>15</v>
      </c>
      <c r="B2174" s="195">
        <v>63</v>
      </c>
      <c r="C2174" s="195" t="s">
        <v>2697</v>
      </c>
      <c r="D2174" s="64">
        <v>84350</v>
      </c>
      <c r="E2174" s="195" t="s">
        <v>366</v>
      </c>
      <c r="F2174" s="71" t="s">
        <v>508</v>
      </c>
      <c r="G2174" s="71" t="s">
        <v>2512</v>
      </c>
      <c r="H2174" s="71" t="s">
        <v>2479</v>
      </c>
      <c r="I2174" s="71" t="s">
        <v>415</v>
      </c>
      <c r="J2174" s="71" t="s">
        <v>2443</v>
      </c>
    </row>
    <row r="2175" spans="1:10" ht="43.5" x14ac:dyDescent="0.35">
      <c r="A2175" s="195">
        <v>15</v>
      </c>
      <c r="B2175" s="195">
        <v>64</v>
      </c>
      <c r="C2175" s="195" t="s">
        <v>2698</v>
      </c>
      <c r="D2175" s="64">
        <v>3320</v>
      </c>
      <c r="E2175" s="195" t="s">
        <v>373</v>
      </c>
      <c r="F2175" s="71" t="s">
        <v>2508</v>
      </c>
      <c r="G2175" s="71" t="s">
        <v>2512</v>
      </c>
      <c r="H2175" s="71" t="s">
        <v>2645</v>
      </c>
      <c r="I2175" s="71" t="s">
        <v>1494</v>
      </c>
      <c r="J2175" s="71" t="s">
        <v>2460</v>
      </c>
    </row>
    <row r="2176" spans="1:10" ht="43.5" x14ac:dyDescent="0.35">
      <c r="A2176" s="195">
        <v>15</v>
      </c>
      <c r="B2176" s="195">
        <v>64</v>
      </c>
      <c r="C2176" s="195" t="s">
        <v>2700</v>
      </c>
      <c r="D2176" s="195">
        <v>910</v>
      </c>
      <c r="E2176" s="195" t="s">
        <v>373</v>
      </c>
      <c r="F2176" s="71" t="s">
        <v>2510</v>
      </c>
      <c r="G2176" s="71" t="s">
        <v>2512</v>
      </c>
      <c r="H2176" s="71" t="s">
        <v>2645</v>
      </c>
      <c r="I2176" s="71" t="s">
        <v>1494</v>
      </c>
      <c r="J2176" s="71" t="s">
        <v>2460</v>
      </c>
    </row>
    <row r="2177" spans="1:10" ht="29" x14ac:dyDescent="0.35">
      <c r="A2177" s="195">
        <v>15</v>
      </c>
      <c r="B2177" s="195">
        <v>64</v>
      </c>
      <c r="C2177" s="195" t="s">
        <v>2699</v>
      </c>
      <c r="D2177" s="64">
        <v>28350</v>
      </c>
      <c r="E2177" s="195" t="s">
        <v>373</v>
      </c>
      <c r="F2177" s="71" t="s">
        <v>508</v>
      </c>
      <c r="G2177" s="71" t="s">
        <v>2512</v>
      </c>
      <c r="H2177" s="71" t="s">
        <v>2479</v>
      </c>
      <c r="I2177" s="71" t="s">
        <v>415</v>
      </c>
      <c r="J2177" s="71" t="s">
        <v>2460</v>
      </c>
    </row>
    <row r="2178" spans="1:10" ht="43.5" x14ac:dyDescent="0.35">
      <c r="A2178" s="195">
        <v>15</v>
      </c>
      <c r="B2178" s="195">
        <v>65</v>
      </c>
      <c r="C2178" s="195" t="s">
        <v>2703</v>
      </c>
      <c r="D2178" s="64">
        <v>12630</v>
      </c>
      <c r="E2178" s="195" t="s">
        <v>373</v>
      </c>
      <c r="F2178" s="71" t="s">
        <v>2508</v>
      </c>
      <c r="G2178" s="71" t="s">
        <v>2512</v>
      </c>
      <c r="H2178" s="71" t="s">
        <v>2645</v>
      </c>
      <c r="I2178" s="71" t="s">
        <v>1494</v>
      </c>
      <c r="J2178" s="71" t="s">
        <v>2463</v>
      </c>
    </row>
    <row r="2179" spans="1:10" ht="43.5" x14ac:dyDescent="0.35">
      <c r="A2179" s="195">
        <v>15</v>
      </c>
      <c r="B2179" s="195">
        <v>65</v>
      </c>
      <c r="C2179" s="195" t="s">
        <v>2701</v>
      </c>
      <c r="D2179" s="64">
        <v>3815</v>
      </c>
      <c r="E2179" s="195" t="s">
        <v>373</v>
      </c>
      <c r="F2179" s="71" t="s">
        <v>2510</v>
      </c>
      <c r="G2179" s="71" t="s">
        <v>2512</v>
      </c>
      <c r="H2179" s="71" t="s">
        <v>2645</v>
      </c>
      <c r="I2179" s="71" t="s">
        <v>1494</v>
      </c>
      <c r="J2179" s="71" t="s">
        <v>2463</v>
      </c>
    </row>
    <row r="2180" spans="1:10" ht="29" x14ac:dyDescent="0.35">
      <c r="A2180" s="195">
        <v>15</v>
      </c>
      <c r="B2180" s="195">
        <v>65</v>
      </c>
      <c r="C2180" s="195" t="s">
        <v>2702</v>
      </c>
      <c r="D2180" s="64">
        <v>35900</v>
      </c>
      <c r="E2180" s="195" t="s">
        <v>373</v>
      </c>
      <c r="F2180" s="71" t="s">
        <v>508</v>
      </c>
      <c r="G2180" s="71" t="s">
        <v>2512</v>
      </c>
      <c r="H2180" s="71" t="s">
        <v>2479</v>
      </c>
      <c r="I2180" s="71" t="s">
        <v>415</v>
      </c>
      <c r="J2180" s="71" t="s">
        <v>2463</v>
      </c>
    </row>
    <row r="2181" spans="1:10" ht="43.5" x14ac:dyDescent="0.35">
      <c r="A2181" s="195">
        <v>15</v>
      </c>
      <c r="B2181" s="195">
        <v>66</v>
      </c>
      <c r="C2181" s="195" t="s">
        <v>2706</v>
      </c>
      <c r="D2181" s="64">
        <v>47275</v>
      </c>
      <c r="E2181" s="195" t="s">
        <v>373</v>
      </c>
      <c r="F2181" s="71" t="s">
        <v>2508</v>
      </c>
      <c r="G2181" s="71" t="s">
        <v>2512</v>
      </c>
      <c r="H2181" s="71" t="s">
        <v>2645</v>
      </c>
      <c r="I2181" s="71" t="s">
        <v>1494</v>
      </c>
      <c r="J2181" s="71" t="s">
        <v>2466</v>
      </c>
    </row>
    <row r="2182" spans="1:10" ht="43.5" x14ac:dyDescent="0.35">
      <c r="A2182" s="195">
        <v>15</v>
      </c>
      <c r="B2182" s="195">
        <v>66</v>
      </c>
      <c r="C2182" s="195" t="s">
        <v>2704</v>
      </c>
      <c r="D2182" s="64">
        <v>14740</v>
      </c>
      <c r="E2182" s="195" t="s">
        <v>373</v>
      </c>
      <c r="F2182" s="71" t="s">
        <v>2510</v>
      </c>
      <c r="G2182" s="71" t="s">
        <v>2512</v>
      </c>
      <c r="H2182" s="71" t="s">
        <v>2645</v>
      </c>
      <c r="I2182" s="71" t="s">
        <v>1494</v>
      </c>
      <c r="J2182" s="71" t="s">
        <v>2466</v>
      </c>
    </row>
    <row r="2183" spans="1:10" ht="29" x14ac:dyDescent="0.35">
      <c r="A2183" s="195">
        <v>15</v>
      </c>
      <c r="B2183" s="195">
        <v>66</v>
      </c>
      <c r="C2183" s="195" t="s">
        <v>2705</v>
      </c>
      <c r="D2183" s="64">
        <v>20100</v>
      </c>
      <c r="E2183" s="195" t="s">
        <v>373</v>
      </c>
      <c r="F2183" s="71" t="s">
        <v>508</v>
      </c>
      <c r="G2183" s="71" t="s">
        <v>2512</v>
      </c>
      <c r="H2183" s="71" t="s">
        <v>2479</v>
      </c>
      <c r="I2183" s="71" t="s">
        <v>415</v>
      </c>
      <c r="J2183" s="71" t="s">
        <v>2466</v>
      </c>
    </row>
    <row r="2184" spans="1:10" ht="29" x14ac:dyDescent="0.35">
      <c r="A2184" s="195">
        <v>15</v>
      </c>
      <c r="B2184" s="195">
        <v>67</v>
      </c>
      <c r="C2184" s="195" t="s">
        <v>2707</v>
      </c>
      <c r="D2184" s="64">
        <v>248040</v>
      </c>
      <c r="E2184" s="195" t="s">
        <v>366</v>
      </c>
      <c r="F2184" s="71" t="s">
        <v>2508</v>
      </c>
      <c r="G2184" s="71" t="s">
        <v>2512</v>
      </c>
      <c r="H2184" s="71" t="s">
        <v>2708</v>
      </c>
      <c r="I2184" s="71" t="s">
        <v>363</v>
      </c>
      <c r="J2184" s="71" t="s">
        <v>2443</v>
      </c>
    </row>
    <row r="2185" spans="1:10" ht="29" x14ac:dyDescent="0.35">
      <c r="A2185" s="195">
        <v>15</v>
      </c>
      <c r="B2185" s="195">
        <v>67</v>
      </c>
      <c r="C2185" s="195" t="s">
        <v>2710</v>
      </c>
      <c r="D2185" s="64">
        <v>103305</v>
      </c>
      <c r="E2185" s="195" t="s">
        <v>366</v>
      </c>
      <c r="F2185" s="71" t="s">
        <v>2510</v>
      </c>
      <c r="G2185" s="71" t="s">
        <v>2512</v>
      </c>
      <c r="H2185" s="71" t="s">
        <v>2708</v>
      </c>
      <c r="I2185" s="71" t="s">
        <v>363</v>
      </c>
      <c r="J2185" s="71" t="s">
        <v>2443</v>
      </c>
    </row>
    <row r="2186" spans="1:10" ht="29" x14ac:dyDescent="0.35">
      <c r="A2186" s="195">
        <v>15</v>
      </c>
      <c r="B2186" s="195">
        <v>67</v>
      </c>
      <c r="C2186" s="195" t="s">
        <v>2709</v>
      </c>
      <c r="D2186" s="64">
        <v>150045</v>
      </c>
      <c r="E2186" s="195" t="s">
        <v>366</v>
      </c>
      <c r="F2186" s="71" t="s">
        <v>508</v>
      </c>
      <c r="G2186" s="71" t="s">
        <v>2512</v>
      </c>
      <c r="H2186" s="71" t="s">
        <v>2491</v>
      </c>
      <c r="I2186" s="71" t="s">
        <v>363</v>
      </c>
      <c r="J2186" s="71" t="s">
        <v>2443</v>
      </c>
    </row>
    <row r="2187" spans="1:10" ht="43.5" x14ac:dyDescent="0.35">
      <c r="A2187" s="195">
        <v>15</v>
      </c>
      <c r="B2187" s="195">
        <v>68</v>
      </c>
      <c r="C2187" s="195" t="s">
        <v>2713</v>
      </c>
      <c r="D2187" s="64">
        <v>7785</v>
      </c>
      <c r="E2187" s="195" t="s">
        <v>366</v>
      </c>
      <c r="F2187" s="71" t="s">
        <v>2508</v>
      </c>
      <c r="G2187" s="71" t="s">
        <v>2512</v>
      </c>
      <c r="H2187" s="71" t="s">
        <v>2708</v>
      </c>
      <c r="I2187" s="71" t="s">
        <v>1377</v>
      </c>
      <c r="J2187" s="71" t="s">
        <v>2443</v>
      </c>
    </row>
    <row r="2188" spans="1:10" ht="43.5" x14ac:dyDescent="0.35">
      <c r="A2188" s="195">
        <v>15</v>
      </c>
      <c r="B2188" s="195">
        <v>68</v>
      </c>
      <c r="C2188" s="195" t="s">
        <v>2711</v>
      </c>
      <c r="D2188" s="64">
        <v>9255</v>
      </c>
      <c r="E2188" s="195" t="s">
        <v>366</v>
      </c>
      <c r="F2188" s="71" t="s">
        <v>2510</v>
      </c>
      <c r="G2188" s="71" t="s">
        <v>2512</v>
      </c>
      <c r="H2188" s="71" t="s">
        <v>2708</v>
      </c>
      <c r="I2188" s="71" t="s">
        <v>1377</v>
      </c>
      <c r="J2188" s="71" t="s">
        <v>2443</v>
      </c>
    </row>
    <row r="2189" spans="1:10" ht="29" x14ac:dyDescent="0.35">
      <c r="A2189" s="195">
        <v>15</v>
      </c>
      <c r="B2189" s="195">
        <v>68</v>
      </c>
      <c r="C2189" s="195" t="s">
        <v>2712</v>
      </c>
      <c r="D2189" s="64">
        <v>17760</v>
      </c>
      <c r="E2189" s="195" t="s">
        <v>366</v>
      </c>
      <c r="F2189" s="71" t="s">
        <v>508</v>
      </c>
      <c r="G2189" s="71" t="s">
        <v>2512</v>
      </c>
      <c r="H2189" s="71" t="s">
        <v>2491</v>
      </c>
      <c r="I2189" s="71" t="s">
        <v>371</v>
      </c>
      <c r="J2189" s="71" t="s">
        <v>2443</v>
      </c>
    </row>
    <row r="2190" spans="1:10" ht="43.5" x14ac:dyDescent="0.35">
      <c r="A2190" s="195">
        <v>15</v>
      </c>
      <c r="B2190" s="195">
        <v>69</v>
      </c>
      <c r="C2190" s="195" t="s">
        <v>2714</v>
      </c>
      <c r="D2190" s="195">
        <v>860</v>
      </c>
      <c r="E2190" s="195" t="s">
        <v>373</v>
      </c>
      <c r="F2190" s="71" t="s">
        <v>2508</v>
      </c>
      <c r="G2190" s="71" t="s">
        <v>2512</v>
      </c>
      <c r="H2190" s="71" t="s">
        <v>2708</v>
      </c>
      <c r="I2190" s="71" t="s">
        <v>1377</v>
      </c>
      <c r="J2190" s="71" t="s">
        <v>2460</v>
      </c>
    </row>
    <row r="2191" spans="1:10" ht="43.5" x14ac:dyDescent="0.35">
      <c r="A2191" s="195">
        <v>15</v>
      </c>
      <c r="B2191" s="195">
        <v>69</v>
      </c>
      <c r="C2191" s="195" t="s">
        <v>2715</v>
      </c>
      <c r="D2191" s="64">
        <v>1020</v>
      </c>
      <c r="E2191" s="195" t="s">
        <v>373</v>
      </c>
      <c r="F2191" s="71" t="s">
        <v>2510</v>
      </c>
      <c r="G2191" s="71" t="s">
        <v>2512</v>
      </c>
      <c r="H2191" s="71" t="s">
        <v>2708</v>
      </c>
      <c r="I2191" s="71" t="s">
        <v>1377</v>
      </c>
      <c r="J2191" s="71" t="s">
        <v>2460</v>
      </c>
    </row>
    <row r="2192" spans="1:10" ht="29" x14ac:dyDescent="0.35">
      <c r="A2192" s="195">
        <v>15</v>
      </c>
      <c r="B2192" s="195">
        <v>69</v>
      </c>
      <c r="C2192" s="195" t="s">
        <v>2716</v>
      </c>
      <c r="D2192" s="64">
        <v>8700</v>
      </c>
      <c r="E2192" s="195" t="s">
        <v>373</v>
      </c>
      <c r="F2192" s="71" t="s">
        <v>508</v>
      </c>
      <c r="G2192" s="71" t="s">
        <v>2512</v>
      </c>
      <c r="H2192" s="71" t="s">
        <v>2491</v>
      </c>
      <c r="I2192" s="71" t="s">
        <v>371</v>
      </c>
      <c r="J2192" s="71" t="s">
        <v>2460</v>
      </c>
    </row>
    <row r="2193" spans="1:10" ht="43.5" x14ac:dyDescent="0.35">
      <c r="A2193" s="195">
        <v>15</v>
      </c>
      <c r="B2193" s="195">
        <v>70</v>
      </c>
      <c r="C2193" s="195" t="s">
        <v>2717</v>
      </c>
      <c r="D2193" s="64">
        <v>2200</v>
      </c>
      <c r="E2193" s="195" t="s">
        <v>373</v>
      </c>
      <c r="F2193" s="71" t="s">
        <v>2508</v>
      </c>
      <c r="G2193" s="71" t="s">
        <v>2512</v>
      </c>
      <c r="H2193" s="71" t="s">
        <v>2708</v>
      </c>
      <c r="I2193" s="71" t="s">
        <v>1377</v>
      </c>
      <c r="J2193" s="71" t="s">
        <v>2463</v>
      </c>
    </row>
    <row r="2194" spans="1:10" ht="43.5" x14ac:dyDescent="0.35">
      <c r="A2194" s="195">
        <v>15</v>
      </c>
      <c r="B2194" s="195">
        <v>70</v>
      </c>
      <c r="C2194" s="195" t="s">
        <v>2719</v>
      </c>
      <c r="D2194" s="64">
        <v>3070</v>
      </c>
      <c r="E2194" s="195" t="s">
        <v>373</v>
      </c>
      <c r="F2194" s="71" t="s">
        <v>2510</v>
      </c>
      <c r="G2194" s="71" t="s">
        <v>2512</v>
      </c>
      <c r="H2194" s="71" t="s">
        <v>2708</v>
      </c>
      <c r="I2194" s="71" t="s">
        <v>1377</v>
      </c>
      <c r="J2194" s="71" t="s">
        <v>2463</v>
      </c>
    </row>
    <row r="2195" spans="1:10" ht="29" x14ac:dyDescent="0.35">
      <c r="A2195" s="195">
        <v>15</v>
      </c>
      <c r="B2195" s="195">
        <v>70</v>
      </c>
      <c r="C2195" s="195" t="s">
        <v>2718</v>
      </c>
      <c r="D2195" s="64">
        <v>5155</v>
      </c>
      <c r="E2195" s="195" t="s">
        <v>373</v>
      </c>
      <c r="F2195" s="71" t="s">
        <v>508</v>
      </c>
      <c r="G2195" s="71" t="s">
        <v>2512</v>
      </c>
      <c r="H2195" s="71" t="s">
        <v>2491</v>
      </c>
      <c r="I2195" s="71" t="s">
        <v>371</v>
      </c>
      <c r="J2195" s="71" t="s">
        <v>2463</v>
      </c>
    </row>
    <row r="2196" spans="1:10" ht="43.5" x14ac:dyDescent="0.35">
      <c r="A2196" s="195">
        <v>15</v>
      </c>
      <c r="B2196" s="195">
        <v>71</v>
      </c>
      <c r="C2196" s="195" t="s">
        <v>2720</v>
      </c>
      <c r="D2196" s="64">
        <v>4725</v>
      </c>
      <c r="E2196" s="195" t="s">
        <v>373</v>
      </c>
      <c r="F2196" s="71" t="s">
        <v>2508</v>
      </c>
      <c r="G2196" s="71" t="s">
        <v>2512</v>
      </c>
      <c r="H2196" s="71" t="s">
        <v>2708</v>
      </c>
      <c r="I2196" s="71" t="s">
        <v>1377</v>
      </c>
      <c r="J2196" s="71" t="s">
        <v>2466</v>
      </c>
    </row>
    <row r="2197" spans="1:10" ht="43.5" x14ac:dyDescent="0.35">
      <c r="A2197" s="195">
        <v>15</v>
      </c>
      <c r="B2197" s="195">
        <v>71</v>
      </c>
      <c r="C2197" s="195" t="s">
        <v>2722</v>
      </c>
      <c r="D2197" s="64">
        <v>5165</v>
      </c>
      <c r="E2197" s="195" t="s">
        <v>373</v>
      </c>
      <c r="F2197" s="71" t="s">
        <v>2510</v>
      </c>
      <c r="G2197" s="71" t="s">
        <v>2512</v>
      </c>
      <c r="H2197" s="71" t="s">
        <v>2708</v>
      </c>
      <c r="I2197" s="71" t="s">
        <v>1377</v>
      </c>
      <c r="J2197" s="71" t="s">
        <v>2466</v>
      </c>
    </row>
    <row r="2198" spans="1:10" ht="29" x14ac:dyDescent="0.35">
      <c r="A2198" s="195">
        <v>15</v>
      </c>
      <c r="B2198" s="195">
        <v>71</v>
      </c>
      <c r="C2198" s="195" t="s">
        <v>2721</v>
      </c>
      <c r="D2198" s="64">
        <v>3900</v>
      </c>
      <c r="E2198" s="195" t="s">
        <v>373</v>
      </c>
      <c r="F2198" s="71" t="s">
        <v>508</v>
      </c>
      <c r="G2198" s="71" t="s">
        <v>2512</v>
      </c>
      <c r="H2198" s="71" t="s">
        <v>2491</v>
      </c>
      <c r="I2198" s="71" t="s">
        <v>371</v>
      </c>
      <c r="J2198" s="71" t="s">
        <v>2466</v>
      </c>
    </row>
    <row r="2199" spans="1:10" ht="43.5" x14ac:dyDescent="0.35">
      <c r="A2199" s="195">
        <v>15</v>
      </c>
      <c r="B2199" s="195">
        <v>72</v>
      </c>
      <c r="C2199" s="195" t="s">
        <v>2724</v>
      </c>
      <c r="D2199" s="64">
        <v>8850</v>
      </c>
      <c r="E2199" s="195" t="s">
        <v>366</v>
      </c>
      <c r="F2199" s="71" t="s">
        <v>2508</v>
      </c>
      <c r="G2199" s="71" t="s">
        <v>2512</v>
      </c>
      <c r="H2199" s="71" t="s">
        <v>2708</v>
      </c>
      <c r="I2199" s="71" t="s">
        <v>1413</v>
      </c>
      <c r="J2199" s="71" t="s">
        <v>2443</v>
      </c>
    </row>
    <row r="2200" spans="1:10" ht="43.5" x14ac:dyDescent="0.35">
      <c r="A2200" s="195">
        <v>15</v>
      </c>
      <c r="B2200" s="195">
        <v>72</v>
      </c>
      <c r="C2200" s="195" t="s">
        <v>2725</v>
      </c>
      <c r="D2200" s="64">
        <v>10275</v>
      </c>
      <c r="E2200" s="195" t="s">
        <v>366</v>
      </c>
      <c r="F2200" s="71" t="s">
        <v>2510</v>
      </c>
      <c r="G2200" s="71" t="s">
        <v>2512</v>
      </c>
      <c r="H2200" s="71" t="s">
        <v>2708</v>
      </c>
      <c r="I2200" s="71" t="s">
        <v>1413</v>
      </c>
      <c r="J2200" s="71" t="s">
        <v>2443</v>
      </c>
    </row>
    <row r="2201" spans="1:10" ht="43.5" x14ac:dyDescent="0.35">
      <c r="A2201" s="195">
        <v>15</v>
      </c>
      <c r="B2201" s="195">
        <v>72</v>
      </c>
      <c r="C2201" s="195" t="s">
        <v>2723</v>
      </c>
      <c r="D2201" s="64">
        <v>10585</v>
      </c>
      <c r="E2201" s="195" t="s">
        <v>366</v>
      </c>
      <c r="F2201" s="71" t="s">
        <v>508</v>
      </c>
      <c r="G2201" s="71" t="s">
        <v>2512</v>
      </c>
      <c r="H2201" s="71" t="s">
        <v>2491</v>
      </c>
      <c r="I2201" s="71" t="s">
        <v>388</v>
      </c>
      <c r="J2201" s="71" t="s">
        <v>2443</v>
      </c>
    </row>
    <row r="2202" spans="1:10" ht="43.5" x14ac:dyDescent="0.35">
      <c r="A2202" s="195">
        <v>15</v>
      </c>
      <c r="B2202" s="195">
        <v>73</v>
      </c>
      <c r="C2202" s="195" t="s">
        <v>2726</v>
      </c>
      <c r="D2202" s="195">
        <v>590</v>
      </c>
      <c r="E2202" s="195" t="s">
        <v>373</v>
      </c>
      <c r="F2202" s="71" t="s">
        <v>2508</v>
      </c>
      <c r="G2202" s="71" t="s">
        <v>2512</v>
      </c>
      <c r="H2202" s="71" t="s">
        <v>2708</v>
      </c>
      <c r="I2202" s="71" t="s">
        <v>1413</v>
      </c>
      <c r="J2202" s="71" t="s">
        <v>2460</v>
      </c>
    </row>
    <row r="2203" spans="1:10" ht="43.5" x14ac:dyDescent="0.35">
      <c r="A2203" s="195">
        <v>15</v>
      </c>
      <c r="B2203" s="195">
        <v>73</v>
      </c>
      <c r="C2203" s="195" t="s">
        <v>2727</v>
      </c>
      <c r="D2203" s="195">
        <v>765</v>
      </c>
      <c r="E2203" s="195" t="s">
        <v>373</v>
      </c>
      <c r="F2203" s="71" t="s">
        <v>2510</v>
      </c>
      <c r="G2203" s="71" t="s">
        <v>2512</v>
      </c>
      <c r="H2203" s="71" t="s">
        <v>2708</v>
      </c>
      <c r="I2203" s="71" t="s">
        <v>1413</v>
      </c>
      <c r="J2203" s="71" t="s">
        <v>2460</v>
      </c>
    </row>
    <row r="2204" spans="1:10" ht="43.5" x14ac:dyDescent="0.35">
      <c r="A2204" s="195">
        <v>15</v>
      </c>
      <c r="B2204" s="195">
        <v>73</v>
      </c>
      <c r="C2204" s="195" t="s">
        <v>2728</v>
      </c>
      <c r="D2204" s="64">
        <v>4515</v>
      </c>
      <c r="E2204" s="195" t="s">
        <v>373</v>
      </c>
      <c r="F2204" s="71" t="s">
        <v>508</v>
      </c>
      <c r="G2204" s="71" t="s">
        <v>2512</v>
      </c>
      <c r="H2204" s="71" t="s">
        <v>2491</v>
      </c>
      <c r="I2204" s="71" t="s">
        <v>388</v>
      </c>
      <c r="J2204" s="71" t="s">
        <v>2460</v>
      </c>
    </row>
    <row r="2205" spans="1:10" ht="43.5" x14ac:dyDescent="0.35">
      <c r="A2205" s="195">
        <v>15</v>
      </c>
      <c r="B2205" s="195">
        <v>74</v>
      </c>
      <c r="C2205" s="195" t="s">
        <v>2731</v>
      </c>
      <c r="D2205" s="64">
        <v>2290</v>
      </c>
      <c r="E2205" s="195" t="s">
        <v>373</v>
      </c>
      <c r="F2205" s="71" t="s">
        <v>2508</v>
      </c>
      <c r="G2205" s="71" t="s">
        <v>2512</v>
      </c>
      <c r="H2205" s="71" t="s">
        <v>2708</v>
      </c>
      <c r="I2205" s="71" t="s">
        <v>1413</v>
      </c>
      <c r="J2205" s="71" t="s">
        <v>2463</v>
      </c>
    </row>
    <row r="2206" spans="1:10" ht="43.5" x14ac:dyDescent="0.35">
      <c r="A2206" s="195">
        <v>15</v>
      </c>
      <c r="B2206" s="195">
        <v>74</v>
      </c>
      <c r="C2206" s="195" t="s">
        <v>2730</v>
      </c>
      <c r="D2206" s="64">
        <v>3265</v>
      </c>
      <c r="E2206" s="195" t="s">
        <v>373</v>
      </c>
      <c r="F2206" s="71" t="s">
        <v>2510</v>
      </c>
      <c r="G2206" s="71" t="s">
        <v>2512</v>
      </c>
      <c r="H2206" s="71" t="s">
        <v>2708</v>
      </c>
      <c r="I2206" s="71" t="s">
        <v>1413</v>
      </c>
      <c r="J2206" s="71" t="s">
        <v>2463</v>
      </c>
    </row>
    <row r="2207" spans="1:10" ht="43.5" x14ac:dyDescent="0.35">
      <c r="A2207" s="195">
        <v>15</v>
      </c>
      <c r="B2207" s="195">
        <v>74</v>
      </c>
      <c r="C2207" s="195" t="s">
        <v>2729</v>
      </c>
      <c r="D2207" s="64">
        <v>3300</v>
      </c>
      <c r="E2207" s="195" t="s">
        <v>373</v>
      </c>
      <c r="F2207" s="71" t="s">
        <v>508</v>
      </c>
      <c r="G2207" s="71" t="s">
        <v>2512</v>
      </c>
      <c r="H2207" s="71" t="s">
        <v>2491</v>
      </c>
      <c r="I2207" s="71" t="s">
        <v>388</v>
      </c>
      <c r="J2207" s="71" t="s">
        <v>2463</v>
      </c>
    </row>
    <row r="2208" spans="1:10" ht="43.5" x14ac:dyDescent="0.35">
      <c r="A2208" s="195">
        <v>15</v>
      </c>
      <c r="B2208" s="195">
        <v>75</v>
      </c>
      <c r="C2208" s="195" t="s">
        <v>2733</v>
      </c>
      <c r="D2208" s="64">
        <v>5965</v>
      </c>
      <c r="E2208" s="195" t="s">
        <v>373</v>
      </c>
      <c r="F2208" s="71" t="s">
        <v>2508</v>
      </c>
      <c r="G2208" s="71" t="s">
        <v>2512</v>
      </c>
      <c r="H2208" s="71" t="s">
        <v>2708</v>
      </c>
      <c r="I2208" s="71" t="s">
        <v>1413</v>
      </c>
      <c r="J2208" s="71" t="s">
        <v>2466</v>
      </c>
    </row>
    <row r="2209" spans="1:10" ht="43.5" x14ac:dyDescent="0.35">
      <c r="A2209" s="195">
        <v>15</v>
      </c>
      <c r="B2209" s="195">
        <v>75</v>
      </c>
      <c r="C2209" s="195" t="s">
        <v>2734</v>
      </c>
      <c r="D2209" s="64">
        <v>6245</v>
      </c>
      <c r="E2209" s="195" t="s">
        <v>373</v>
      </c>
      <c r="F2209" s="71" t="s">
        <v>2510</v>
      </c>
      <c r="G2209" s="71" t="s">
        <v>2512</v>
      </c>
      <c r="H2209" s="71" t="s">
        <v>2708</v>
      </c>
      <c r="I2209" s="71" t="s">
        <v>1413</v>
      </c>
      <c r="J2209" s="71" t="s">
        <v>2466</v>
      </c>
    </row>
    <row r="2210" spans="1:10" ht="43.5" x14ac:dyDescent="0.35">
      <c r="A2210" s="195">
        <v>15</v>
      </c>
      <c r="B2210" s="195">
        <v>75</v>
      </c>
      <c r="C2210" s="195" t="s">
        <v>2732</v>
      </c>
      <c r="D2210" s="64">
        <v>2765</v>
      </c>
      <c r="E2210" s="195" t="s">
        <v>373</v>
      </c>
      <c r="F2210" s="71" t="s">
        <v>508</v>
      </c>
      <c r="G2210" s="71" t="s">
        <v>2512</v>
      </c>
      <c r="H2210" s="71" t="s">
        <v>2491</v>
      </c>
      <c r="I2210" s="71" t="s">
        <v>388</v>
      </c>
      <c r="J2210" s="71" t="s">
        <v>2466</v>
      </c>
    </row>
    <row r="2211" spans="1:10" ht="43.5" x14ac:dyDescent="0.35">
      <c r="A2211" s="195">
        <v>15</v>
      </c>
      <c r="B2211" s="195">
        <v>76</v>
      </c>
      <c r="C2211" s="195" t="s">
        <v>2736</v>
      </c>
      <c r="D2211" s="64">
        <v>15980</v>
      </c>
      <c r="E2211" s="195" t="s">
        <v>366</v>
      </c>
      <c r="F2211" s="71" t="s">
        <v>2508</v>
      </c>
      <c r="G2211" s="71" t="s">
        <v>2512</v>
      </c>
      <c r="H2211" s="71" t="s">
        <v>2708</v>
      </c>
      <c r="I2211" s="71" t="s">
        <v>1440</v>
      </c>
      <c r="J2211" s="71" t="s">
        <v>2443</v>
      </c>
    </row>
    <row r="2212" spans="1:10" ht="43.5" x14ac:dyDescent="0.35">
      <c r="A2212" s="195">
        <v>15</v>
      </c>
      <c r="B2212" s="195">
        <v>76</v>
      </c>
      <c r="C2212" s="195" t="s">
        <v>2737</v>
      </c>
      <c r="D2212" s="64">
        <v>13290</v>
      </c>
      <c r="E2212" s="195" t="s">
        <v>366</v>
      </c>
      <c r="F2212" s="71" t="s">
        <v>2510</v>
      </c>
      <c r="G2212" s="71" t="s">
        <v>2512</v>
      </c>
      <c r="H2212" s="71" t="s">
        <v>2708</v>
      </c>
      <c r="I2212" s="71" t="s">
        <v>1440</v>
      </c>
      <c r="J2212" s="71" t="s">
        <v>2443</v>
      </c>
    </row>
    <row r="2213" spans="1:10" ht="43.5" x14ac:dyDescent="0.35">
      <c r="A2213" s="195">
        <v>15</v>
      </c>
      <c r="B2213" s="195">
        <v>76</v>
      </c>
      <c r="C2213" s="195" t="s">
        <v>2735</v>
      </c>
      <c r="D2213" s="64">
        <v>15780</v>
      </c>
      <c r="E2213" s="195" t="s">
        <v>366</v>
      </c>
      <c r="F2213" s="71" t="s">
        <v>508</v>
      </c>
      <c r="G2213" s="71" t="s">
        <v>2512</v>
      </c>
      <c r="H2213" s="71" t="s">
        <v>2491</v>
      </c>
      <c r="I2213" s="71" t="s">
        <v>397</v>
      </c>
      <c r="J2213" s="71" t="s">
        <v>2443</v>
      </c>
    </row>
    <row r="2214" spans="1:10" ht="43.5" x14ac:dyDescent="0.35">
      <c r="A2214" s="195">
        <v>15</v>
      </c>
      <c r="B2214" s="195">
        <v>77</v>
      </c>
      <c r="C2214" s="195" t="s">
        <v>2740</v>
      </c>
      <c r="D2214" s="195">
        <v>950</v>
      </c>
      <c r="E2214" s="195" t="s">
        <v>373</v>
      </c>
      <c r="F2214" s="71" t="s">
        <v>2508</v>
      </c>
      <c r="G2214" s="71" t="s">
        <v>2512</v>
      </c>
      <c r="H2214" s="71" t="s">
        <v>2708</v>
      </c>
      <c r="I2214" s="71" t="s">
        <v>1440</v>
      </c>
      <c r="J2214" s="71" t="s">
        <v>2460</v>
      </c>
    </row>
    <row r="2215" spans="1:10" ht="43.5" x14ac:dyDescent="0.35">
      <c r="A2215" s="195">
        <v>15</v>
      </c>
      <c r="B2215" s="195">
        <v>77</v>
      </c>
      <c r="C2215" s="195" t="s">
        <v>2739</v>
      </c>
      <c r="D2215" s="195">
        <v>845</v>
      </c>
      <c r="E2215" s="195" t="s">
        <v>373</v>
      </c>
      <c r="F2215" s="71" t="s">
        <v>2510</v>
      </c>
      <c r="G2215" s="71" t="s">
        <v>2512</v>
      </c>
      <c r="H2215" s="71" t="s">
        <v>2708</v>
      </c>
      <c r="I2215" s="71" t="s">
        <v>1440</v>
      </c>
      <c r="J2215" s="71" t="s">
        <v>2460</v>
      </c>
    </row>
    <row r="2216" spans="1:10" ht="43.5" x14ac:dyDescent="0.35">
      <c r="A2216" s="195">
        <v>15</v>
      </c>
      <c r="B2216" s="195">
        <v>77</v>
      </c>
      <c r="C2216" s="195" t="s">
        <v>2738</v>
      </c>
      <c r="D2216" s="64">
        <v>7105</v>
      </c>
      <c r="E2216" s="195" t="s">
        <v>373</v>
      </c>
      <c r="F2216" s="71" t="s">
        <v>508</v>
      </c>
      <c r="G2216" s="71" t="s">
        <v>2512</v>
      </c>
      <c r="H2216" s="71" t="s">
        <v>2491</v>
      </c>
      <c r="I2216" s="71" t="s">
        <v>397</v>
      </c>
      <c r="J2216" s="71" t="s">
        <v>2460</v>
      </c>
    </row>
    <row r="2217" spans="1:10" ht="43.5" x14ac:dyDescent="0.35">
      <c r="A2217" s="195">
        <v>15</v>
      </c>
      <c r="B2217" s="195">
        <v>78</v>
      </c>
      <c r="C2217" s="195" t="s">
        <v>2741</v>
      </c>
      <c r="D2217" s="64">
        <v>4050</v>
      </c>
      <c r="E2217" s="195" t="s">
        <v>373</v>
      </c>
      <c r="F2217" s="71" t="s">
        <v>2508</v>
      </c>
      <c r="G2217" s="71" t="s">
        <v>2512</v>
      </c>
      <c r="H2217" s="71" t="s">
        <v>2708</v>
      </c>
      <c r="I2217" s="71" t="s">
        <v>1440</v>
      </c>
      <c r="J2217" s="71" t="s">
        <v>2463</v>
      </c>
    </row>
    <row r="2218" spans="1:10" ht="43.5" x14ac:dyDescent="0.35">
      <c r="A2218" s="195">
        <v>15</v>
      </c>
      <c r="B2218" s="195">
        <v>78</v>
      </c>
      <c r="C2218" s="195" t="s">
        <v>2743</v>
      </c>
      <c r="D2218" s="64">
        <v>3710</v>
      </c>
      <c r="E2218" s="195" t="s">
        <v>373</v>
      </c>
      <c r="F2218" s="71" t="s">
        <v>2510</v>
      </c>
      <c r="G2218" s="71" t="s">
        <v>2512</v>
      </c>
      <c r="H2218" s="71" t="s">
        <v>2708</v>
      </c>
      <c r="I2218" s="71" t="s">
        <v>1440</v>
      </c>
      <c r="J2218" s="71" t="s">
        <v>2463</v>
      </c>
    </row>
    <row r="2219" spans="1:10" ht="43.5" x14ac:dyDescent="0.35">
      <c r="A2219" s="195">
        <v>15</v>
      </c>
      <c r="B2219" s="195">
        <v>78</v>
      </c>
      <c r="C2219" s="195" t="s">
        <v>2742</v>
      </c>
      <c r="D2219" s="64">
        <v>4915</v>
      </c>
      <c r="E2219" s="195" t="s">
        <v>373</v>
      </c>
      <c r="F2219" s="71" t="s">
        <v>508</v>
      </c>
      <c r="G2219" s="71" t="s">
        <v>2512</v>
      </c>
      <c r="H2219" s="71" t="s">
        <v>2491</v>
      </c>
      <c r="I2219" s="71" t="s">
        <v>397</v>
      </c>
      <c r="J2219" s="71" t="s">
        <v>2463</v>
      </c>
    </row>
    <row r="2220" spans="1:10" ht="43.5" x14ac:dyDescent="0.35">
      <c r="A2220" s="195">
        <v>15</v>
      </c>
      <c r="B2220" s="195">
        <v>79</v>
      </c>
      <c r="C2220" s="195" t="s">
        <v>2744</v>
      </c>
      <c r="D2220" s="64">
        <v>10985</v>
      </c>
      <c r="E2220" s="195" t="s">
        <v>373</v>
      </c>
      <c r="F2220" s="71" t="s">
        <v>2508</v>
      </c>
      <c r="G2220" s="71" t="s">
        <v>2512</v>
      </c>
      <c r="H2220" s="71" t="s">
        <v>2708</v>
      </c>
      <c r="I2220" s="71" t="s">
        <v>1440</v>
      </c>
      <c r="J2220" s="71" t="s">
        <v>2466</v>
      </c>
    </row>
    <row r="2221" spans="1:10" ht="43.5" x14ac:dyDescent="0.35">
      <c r="A2221" s="195">
        <v>15</v>
      </c>
      <c r="B2221" s="195">
        <v>79</v>
      </c>
      <c r="C2221" s="195" t="s">
        <v>2745</v>
      </c>
      <c r="D2221" s="64">
        <v>8735</v>
      </c>
      <c r="E2221" s="195" t="s">
        <v>373</v>
      </c>
      <c r="F2221" s="71" t="s">
        <v>2510</v>
      </c>
      <c r="G2221" s="71" t="s">
        <v>2512</v>
      </c>
      <c r="H2221" s="71" t="s">
        <v>2708</v>
      </c>
      <c r="I2221" s="71" t="s">
        <v>1440</v>
      </c>
      <c r="J2221" s="71" t="s">
        <v>2466</v>
      </c>
    </row>
    <row r="2222" spans="1:10" ht="43.5" x14ac:dyDescent="0.35">
      <c r="A2222" s="195">
        <v>15</v>
      </c>
      <c r="B2222" s="195">
        <v>79</v>
      </c>
      <c r="C2222" s="195" t="s">
        <v>2746</v>
      </c>
      <c r="D2222" s="64">
        <v>3765</v>
      </c>
      <c r="E2222" s="195" t="s">
        <v>373</v>
      </c>
      <c r="F2222" s="71" t="s">
        <v>508</v>
      </c>
      <c r="G2222" s="71" t="s">
        <v>2512</v>
      </c>
      <c r="H2222" s="71" t="s">
        <v>2491</v>
      </c>
      <c r="I2222" s="71" t="s">
        <v>397</v>
      </c>
      <c r="J2222" s="71" t="s">
        <v>2466</v>
      </c>
    </row>
    <row r="2223" spans="1:10" ht="43.5" x14ac:dyDescent="0.35">
      <c r="A2223" s="195">
        <v>15</v>
      </c>
      <c r="B2223" s="195">
        <v>80</v>
      </c>
      <c r="C2223" s="195" t="s">
        <v>2749</v>
      </c>
      <c r="D2223" s="64">
        <v>13280</v>
      </c>
      <c r="E2223" s="195" t="s">
        <v>366</v>
      </c>
      <c r="F2223" s="71" t="s">
        <v>2508</v>
      </c>
      <c r="G2223" s="71" t="s">
        <v>2512</v>
      </c>
      <c r="H2223" s="71" t="s">
        <v>2708</v>
      </c>
      <c r="I2223" s="71" t="s">
        <v>1467</v>
      </c>
      <c r="J2223" s="71" t="s">
        <v>2443</v>
      </c>
    </row>
    <row r="2224" spans="1:10" ht="43.5" x14ac:dyDescent="0.35">
      <c r="A2224" s="195">
        <v>15</v>
      </c>
      <c r="B2224" s="195">
        <v>80</v>
      </c>
      <c r="C2224" s="195" t="s">
        <v>2748</v>
      </c>
      <c r="D2224" s="64">
        <v>8195</v>
      </c>
      <c r="E2224" s="195" t="s">
        <v>366</v>
      </c>
      <c r="F2224" s="71" t="s">
        <v>2510</v>
      </c>
      <c r="G2224" s="71" t="s">
        <v>2512</v>
      </c>
      <c r="H2224" s="71" t="s">
        <v>2708</v>
      </c>
      <c r="I2224" s="71" t="s">
        <v>1467</v>
      </c>
      <c r="J2224" s="71" t="s">
        <v>2443</v>
      </c>
    </row>
    <row r="2225" spans="1:10" ht="43.5" x14ac:dyDescent="0.35">
      <c r="A2225" s="195">
        <v>15</v>
      </c>
      <c r="B2225" s="195">
        <v>80</v>
      </c>
      <c r="C2225" s="195" t="s">
        <v>2747</v>
      </c>
      <c r="D2225" s="64">
        <v>13565</v>
      </c>
      <c r="E2225" s="195" t="s">
        <v>366</v>
      </c>
      <c r="F2225" s="71" t="s">
        <v>508</v>
      </c>
      <c r="G2225" s="71" t="s">
        <v>2512</v>
      </c>
      <c r="H2225" s="71" t="s">
        <v>2491</v>
      </c>
      <c r="I2225" s="71" t="s">
        <v>406</v>
      </c>
      <c r="J2225" s="71" t="s">
        <v>2443</v>
      </c>
    </row>
    <row r="2226" spans="1:10" ht="43.5" x14ac:dyDescent="0.35">
      <c r="A2226" s="195">
        <v>15</v>
      </c>
      <c r="B2226" s="195">
        <v>81</v>
      </c>
      <c r="C2226" s="195" t="s">
        <v>2752</v>
      </c>
      <c r="D2226" s="195">
        <v>995</v>
      </c>
      <c r="E2226" s="195" t="s">
        <v>373</v>
      </c>
      <c r="F2226" s="71" t="s">
        <v>2508</v>
      </c>
      <c r="G2226" s="71" t="s">
        <v>2512</v>
      </c>
      <c r="H2226" s="71" t="s">
        <v>2708</v>
      </c>
      <c r="I2226" s="71" t="s">
        <v>1467</v>
      </c>
      <c r="J2226" s="71" t="s">
        <v>2460</v>
      </c>
    </row>
    <row r="2227" spans="1:10" ht="43.5" x14ac:dyDescent="0.35">
      <c r="A2227" s="195">
        <v>15</v>
      </c>
      <c r="B2227" s="195">
        <v>81</v>
      </c>
      <c r="C2227" s="195" t="s">
        <v>2751</v>
      </c>
      <c r="D2227" s="195">
        <v>455</v>
      </c>
      <c r="E2227" s="195" t="s">
        <v>373</v>
      </c>
      <c r="F2227" s="71" t="s">
        <v>2510</v>
      </c>
      <c r="G2227" s="71" t="s">
        <v>2512</v>
      </c>
      <c r="H2227" s="71" t="s">
        <v>2708</v>
      </c>
      <c r="I2227" s="71" t="s">
        <v>1467</v>
      </c>
      <c r="J2227" s="71" t="s">
        <v>2460</v>
      </c>
    </row>
    <row r="2228" spans="1:10" ht="43.5" x14ac:dyDescent="0.35">
      <c r="A2228" s="195">
        <v>15</v>
      </c>
      <c r="B2228" s="195">
        <v>81</v>
      </c>
      <c r="C2228" s="195" t="s">
        <v>2750</v>
      </c>
      <c r="D2228" s="64">
        <v>7190</v>
      </c>
      <c r="E2228" s="195" t="s">
        <v>373</v>
      </c>
      <c r="F2228" s="71" t="s">
        <v>508</v>
      </c>
      <c r="G2228" s="71" t="s">
        <v>2512</v>
      </c>
      <c r="H2228" s="71" t="s">
        <v>2491</v>
      </c>
      <c r="I2228" s="71" t="s">
        <v>406</v>
      </c>
      <c r="J2228" s="71" t="s">
        <v>2460</v>
      </c>
    </row>
    <row r="2229" spans="1:10" ht="43.5" x14ac:dyDescent="0.35">
      <c r="A2229" s="195">
        <v>15</v>
      </c>
      <c r="B2229" s="195">
        <v>82</v>
      </c>
      <c r="C2229" s="195" t="s">
        <v>2754</v>
      </c>
      <c r="D2229" s="64">
        <v>3175</v>
      </c>
      <c r="E2229" s="195" t="s">
        <v>373</v>
      </c>
      <c r="F2229" s="71" t="s">
        <v>2508</v>
      </c>
      <c r="G2229" s="71" t="s">
        <v>2512</v>
      </c>
      <c r="H2229" s="71" t="s">
        <v>2708</v>
      </c>
      <c r="I2229" s="71" t="s">
        <v>1467</v>
      </c>
      <c r="J2229" s="71" t="s">
        <v>2463</v>
      </c>
    </row>
    <row r="2230" spans="1:10" ht="43.5" x14ac:dyDescent="0.35">
      <c r="A2230" s="195">
        <v>15</v>
      </c>
      <c r="B2230" s="195">
        <v>82</v>
      </c>
      <c r="C2230" s="195" t="s">
        <v>2755</v>
      </c>
      <c r="D2230" s="64">
        <v>2425</v>
      </c>
      <c r="E2230" s="195" t="s">
        <v>373</v>
      </c>
      <c r="F2230" s="71" t="s">
        <v>2510</v>
      </c>
      <c r="G2230" s="71" t="s">
        <v>2512</v>
      </c>
      <c r="H2230" s="71" t="s">
        <v>2708</v>
      </c>
      <c r="I2230" s="71" t="s">
        <v>1467</v>
      </c>
      <c r="J2230" s="71" t="s">
        <v>2463</v>
      </c>
    </row>
    <row r="2231" spans="1:10" ht="43.5" x14ac:dyDescent="0.35">
      <c r="A2231" s="195">
        <v>15</v>
      </c>
      <c r="B2231" s="195">
        <v>82</v>
      </c>
      <c r="C2231" s="195" t="s">
        <v>2753</v>
      </c>
      <c r="D2231" s="64">
        <v>3815</v>
      </c>
      <c r="E2231" s="195" t="s">
        <v>373</v>
      </c>
      <c r="F2231" s="71" t="s">
        <v>508</v>
      </c>
      <c r="G2231" s="71" t="s">
        <v>2512</v>
      </c>
      <c r="H2231" s="71" t="s">
        <v>2491</v>
      </c>
      <c r="I2231" s="71" t="s">
        <v>406</v>
      </c>
      <c r="J2231" s="71" t="s">
        <v>2463</v>
      </c>
    </row>
    <row r="2232" spans="1:10" ht="43.5" x14ac:dyDescent="0.35">
      <c r="A2232" s="195">
        <v>15</v>
      </c>
      <c r="B2232" s="195">
        <v>83</v>
      </c>
      <c r="C2232" s="195" t="s">
        <v>2758</v>
      </c>
      <c r="D2232" s="64">
        <v>9115</v>
      </c>
      <c r="E2232" s="195" t="s">
        <v>373</v>
      </c>
      <c r="F2232" s="71" t="s">
        <v>2508</v>
      </c>
      <c r="G2232" s="71" t="s">
        <v>2512</v>
      </c>
      <c r="H2232" s="71" t="s">
        <v>2708</v>
      </c>
      <c r="I2232" s="71" t="s">
        <v>1467</v>
      </c>
      <c r="J2232" s="71" t="s">
        <v>2466</v>
      </c>
    </row>
    <row r="2233" spans="1:10" ht="43.5" x14ac:dyDescent="0.35">
      <c r="A2233" s="195">
        <v>15</v>
      </c>
      <c r="B2233" s="195">
        <v>83</v>
      </c>
      <c r="C2233" s="195" t="s">
        <v>2756</v>
      </c>
      <c r="D2233" s="64">
        <v>5315</v>
      </c>
      <c r="E2233" s="195" t="s">
        <v>373</v>
      </c>
      <c r="F2233" s="71" t="s">
        <v>2510</v>
      </c>
      <c r="G2233" s="71" t="s">
        <v>2512</v>
      </c>
      <c r="H2233" s="71" t="s">
        <v>2708</v>
      </c>
      <c r="I2233" s="71" t="s">
        <v>1467</v>
      </c>
      <c r="J2233" s="71" t="s">
        <v>2466</v>
      </c>
    </row>
    <row r="2234" spans="1:10" ht="43.5" x14ac:dyDescent="0.35">
      <c r="A2234" s="195">
        <v>15</v>
      </c>
      <c r="B2234" s="195">
        <v>83</v>
      </c>
      <c r="C2234" s="195" t="s">
        <v>2757</v>
      </c>
      <c r="D2234" s="64">
        <v>2565</v>
      </c>
      <c r="E2234" s="195" t="s">
        <v>373</v>
      </c>
      <c r="F2234" s="71" t="s">
        <v>508</v>
      </c>
      <c r="G2234" s="71" t="s">
        <v>2512</v>
      </c>
      <c r="H2234" s="71" t="s">
        <v>2491</v>
      </c>
      <c r="I2234" s="71" t="s">
        <v>406</v>
      </c>
      <c r="J2234" s="71" t="s">
        <v>2466</v>
      </c>
    </row>
    <row r="2235" spans="1:10" ht="43.5" x14ac:dyDescent="0.35">
      <c r="A2235" s="195">
        <v>15</v>
      </c>
      <c r="B2235" s="195">
        <v>84</v>
      </c>
      <c r="C2235" s="195" t="s">
        <v>2760</v>
      </c>
      <c r="D2235" s="64">
        <v>202140</v>
      </c>
      <c r="E2235" s="195" t="s">
        <v>366</v>
      </c>
      <c r="F2235" s="71" t="s">
        <v>2508</v>
      </c>
      <c r="G2235" s="71" t="s">
        <v>2512</v>
      </c>
      <c r="H2235" s="71" t="s">
        <v>2708</v>
      </c>
      <c r="I2235" s="71" t="s">
        <v>1494</v>
      </c>
      <c r="J2235" s="71" t="s">
        <v>2443</v>
      </c>
    </row>
    <row r="2236" spans="1:10" ht="43.5" x14ac:dyDescent="0.35">
      <c r="A2236" s="195">
        <v>15</v>
      </c>
      <c r="B2236" s="195">
        <v>84</v>
      </c>
      <c r="C2236" s="195" t="s">
        <v>2761</v>
      </c>
      <c r="D2236" s="64">
        <v>62290</v>
      </c>
      <c r="E2236" s="195" t="s">
        <v>366</v>
      </c>
      <c r="F2236" s="71" t="s">
        <v>2510</v>
      </c>
      <c r="G2236" s="71" t="s">
        <v>2512</v>
      </c>
      <c r="H2236" s="71" t="s">
        <v>2708</v>
      </c>
      <c r="I2236" s="71" t="s">
        <v>1494</v>
      </c>
      <c r="J2236" s="71" t="s">
        <v>2443</v>
      </c>
    </row>
    <row r="2237" spans="1:10" ht="29" x14ac:dyDescent="0.35">
      <c r="A2237" s="195">
        <v>15</v>
      </c>
      <c r="B2237" s="195">
        <v>84</v>
      </c>
      <c r="C2237" s="195" t="s">
        <v>2759</v>
      </c>
      <c r="D2237" s="64">
        <v>92360</v>
      </c>
      <c r="E2237" s="195" t="s">
        <v>366</v>
      </c>
      <c r="F2237" s="71" t="s">
        <v>508</v>
      </c>
      <c r="G2237" s="71" t="s">
        <v>2512</v>
      </c>
      <c r="H2237" s="71" t="s">
        <v>2491</v>
      </c>
      <c r="I2237" s="71" t="s">
        <v>415</v>
      </c>
      <c r="J2237" s="71" t="s">
        <v>2443</v>
      </c>
    </row>
    <row r="2238" spans="1:10" ht="43.5" x14ac:dyDescent="0.35">
      <c r="A2238" s="195">
        <v>15</v>
      </c>
      <c r="B2238" s="195">
        <v>85</v>
      </c>
      <c r="C2238" s="195" t="s">
        <v>2764</v>
      </c>
      <c r="D2238" s="64">
        <v>10700</v>
      </c>
      <c r="E2238" s="195" t="s">
        <v>373</v>
      </c>
      <c r="F2238" s="71" t="s">
        <v>2508</v>
      </c>
      <c r="G2238" s="71" t="s">
        <v>2512</v>
      </c>
      <c r="H2238" s="71" t="s">
        <v>2708</v>
      </c>
      <c r="I2238" s="71" t="s">
        <v>1494</v>
      </c>
      <c r="J2238" s="71" t="s">
        <v>2460</v>
      </c>
    </row>
    <row r="2239" spans="1:10" ht="43.5" x14ac:dyDescent="0.35">
      <c r="A2239" s="195">
        <v>15</v>
      </c>
      <c r="B2239" s="195">
        <v>85</v>
      </c>
      <c r="C2239" s="195" t="s">
        <v>2762</v>
      </c>
      <c r="D2239" s="64">
        <v>2860</v>
      </c>
      <c r="E2239" s="195" t="s">
        <v>373</v>
      </c>
      <c r="F2239" s="71" t="s">
        <v>2510</v>
      </c>
      <c r="G2239" s="71" t="s">
        <v>2512</v>
      </c>
      <c r="H2239" s="71" t="s">
        <v>2708</v>
      </c>
      <c r="I2239" s="71" t="s">
        <v>1494</v>
      </c>
      <c r="J2239" s="71" t="s">
        <v>2460</v>
      </c>
    </row>
    <row r="2240" spans="1:10" ht="29" x14ac:dyDescent="0.35">
      <c r="A2240" s="195">
        <v>15</v>
      </c>
      <c r="B2240" s="195">
        <v>85</v>
      </c>
      <c r="C2240" s="195" t="s">
        <v>2763</v>
      </c>
      <c r="D2240" s="64">
        <v>36365</v>
      </c>
      <c r="E2240" s="195" t="s">
        <v>373</v>
      </c>
      <c r="F2240" s="71" t="s">
        <v>508</v>
      </c>
      <c r="G2240" s="71" t="s">
        <v>2512</v>
      </c>
      <c r="H2240" s="71" t="s">
        <v>2491</v>
      </c>
      <c r="I2240" s="71" t="s">
        <v>415</v>
      </c>
      <c r="J2240" s="71" t="s">
        <v>2460</v>
      </c>
    </row>
    <row r="2241" spans="1:10" ht="43.5" x14ac:dyDescent="0.35">
      <c r="A2241" s="195">
        <v>15</v>
      </c>
      <c r="B2241" s="195">
        <v>86</v>
      </c>
      <c r="C2241" s="195" t="s">
        <v>2767</v>
      </c>
      <c r="D2241" s="64">
        <v>40240</v>
      </c>
      <c r="E2241" s="195" t="s">
        <v>373</v>
      </c>
      <c r="F2241" s="71" t="s">
        <v>2508</v>
      </c>
      <c r="G2241" s="71" t="s">
        <v>2512</v>
      </c>
      <c r="H2241" s="71" t="s">
        <v>2708</v>
      </c>
      <c r="I2241" s="71" t="s">
        <v>1494</v>
      </c>
      <c r="J2241" s="71" t="s">
        <v>2463</v>
      </c>
    </row>
    <row r="2242" spans="1:10" ht="43.5" x14ac:dyDescent="0.35">
      <c r="A2242" s="195">
        <v>15</v>
      </c>
      <c r="B2242" s="195">
        <v>86</v>
      </c>
      <c r="C2242" s="195" t="s">
        <v>2766</v>
      </c>
      <c r="D2242" s="64">
        <v>11330</v>
      </c>
      <c r="E2242" s="195" t="s">
        <v>373</v>
      </c>
      <c r="F2242" s="71" t="s">
        <v>2510</v>
      </c>
      <c r="G2242" s="71" t="s">
        <v>2512</v>
      </c>
      <c r="H2242" s="71" t="s">
        <v>2708</v>
      </c>
      <c r="I2242" s="71" t="s">
        <v>1494</v>
      </c>
      <c r="J2242" s="71" t="s">
        <v>2463</v>
      </c>
    </row>
    <row r="2243" spans="1:10" ht="29" x14ac:dyDescent="0.35">
      <c r="A2243" s="195">
        <v>15</v>
      </c>
      <c r="B2243" s="195">
        <v>86</v>
      </c>
      <c r="C2243" s="195" t="s">
        <v>2765</v>
      </c>
      <c r="D2243" s="64">
        <v>36250</v>
      </c>
      <c r="E2243" s="195" t="s">
        <v>373</v>
      </c>
      <c r="F2243" s="71" t="s">
        <v>508</v>
      </c>
      <c r="G2243" s="71" t="s">
        <v>2512</v>
      </c>
      <c r="H2243" s="71" t="s">
        <v>2491</v>
      </c>
      <c r="I2243" s="71" t="s">
        <v>415</v>
      </c>
      <c r="J2243" s="71" t="s">
        <v>2463</v>
      </c>
    </row>
    <row r="2244" spans="1:10" ht="43.5" x14ac:dyDescent="0.35">
      <c r="A2244" s="195">
        <v>15</v>
      </c>
      <c r="B2244" s="195">
        <v>87</v>
      </c>
      <c r="C2244" s="195" t="s">
        <v>2768</v>
      </c>
      <c r="D2244" s="64">
        <v>151200</v>
      </c>
      <c r="E2244" s="195" t="s">
        <v>373</v>
      </c>
      <c r="F2244" s="71" t="s">
        <v>2508</v>
      </c>
      <c r="G2244" s="71" t="s">
        <v>2512</v>
      </c>
      <c r="H2244" s="71" t="s">
        <v>2708</v>
      </c>
      <c r="I2244" s="71" t="s">
        <v>1494</v>
      </c>
      <c r="J2244" s="71" t="s">
        <v>2466</v>
      </c>
    </row>
    <row r="2245" spans="1:10" ht="43.5" x14ac:dyDescent="0.35">
      <c r="A2245" s="195">
        <v>15</v>
      </c>
      <c r="B2245" s="195">
        <v>87</v>
      </c>
      <c r="C2245" s="195" t="s">
        <v>2769</v>
      </c>
      <c r="D2245" s="64">
        <v>48100</v>
      </c>
      <c r="E2245" s="195" t="s">
        <v>373</v>
      </c>
      <c r="F2245" s="71" t="s">
        <v>2510</v>
      </c>
      <c r="G2245" s="71" t="s">
        <v>2512</v>
      </c>
      <c r="H2245" s="71" t="s">
        <v>2708</v>
      </c>
      <c r="I2245" s="71" t="s">
        <v>1494</v>
      </c>
      <c r="J2245" s="71" t="s">
        <v>2466</v>
      </c>
    </row>
    <row r="2246" spans="1:10" ht="29" x14ac:dyDescent="0.35">
      <c r="A2246" s="195">
        <v>15</v>
      </c>
      <c r="B2246" s="195">
        <v>87</v>
      </c>
      <c r="C2246" s="195" t="s">
        <v>2770</v>
      </c>
      <c r="D2246" s="64">
        <v>19745</v>
      </c>
      <c r="E2246" s="195" t="s">
        <v>373</v>
      </c>
      <c r="F2246" s="71" t="s">
        <v>508</v>
      </c>
      <c r="G2246" s="71" t="s">
        <v>2512</v>
      </c>
      <c r="H2246" s="71" t="s">
        <v>2491</v>
      </c>
      <c r="I2246" s="71" t="s">
        <v>415</v>
      </c>
      <c r="J2246" s="71" t="s">
        <v>2466</v>
      </c>
    </row>
    <row r="2247" spans="1:10" ht="29" x14ac:dyDescent="0.35">
      <c r="A2247" s="195">
        <v>16</v>
      </c>
      <c r="B2247" s="195">
        <v>1</v>
      </c>
      <c r="C2247" s="195" t="s">
        <v>2771</v>
      </c>
      <c r="D2247" s="64">
        <v>1951605</v>
      </c>
      <c r="E2247" s="195" t="s">
        <v>26</v>
      </c>
      <c r="F2247" s="71" t="s">
        <v>361</v>
      </c>
      <c r="G2247" s="71" t="s">
        <v>363</v>
      </c>
      <c r="H2247" s="71" t="s">
        <v>982</v>
      </c>
      <c r="I2247" s="71" t="s">
        <v>2772</v>
      </c>
    </row>
    <row r="2248" spans="1:10" x14ac:dyDescent="0.35">
      <c r="A2248" s="195">
        <v>16</v>
      </c>
      <c r="B2248" s="195">
        <v>2</v>
      </c>
      <c r="C2248" s="195" t="s">
        <v>2773</v>
      </c>
      <c r="D2248" s="64">
        <v>1105170</v>
      </c>
      <c r="E2248" s="195" t="s">
        <v>366</v>
      </c>
      <c r="F2248" s="71" t="s">
        <v>367</v>
      </c>
      <c r="G2248" s="71" t="s">
        <v>363</v>
      </c>
      <c r="H2248" s="71" t="s">
        <v>982</v>
      </c>
      <c r="I2248" s="71" t="s">
        <v>2772</v>
      </c>
    </row>
    <row r="2249" spans="1:10" ht="29" x14ac:dyDescent="0.35">
      <c r="A2249" s="195">
        <v>16</v>
      </c>
      <c r="B2249" s="195">
        <v>3</v>
      </c>
      <c r="C2249" s="195" t="s">
        <v>2774</v>
      </c>
      <c r="D2249" s="64">
        <v>103685</v>
      </c>
      <c r="E2249" s="195" t="s">
        <v>366</v>
      </c>
      <c r="F2249" s="71" t="s">
        <v>367</v>
      </c>
      <c r="G2249" s="71" t="s">
        <v>371</v>
      </c>
      <c r="H2249" s="71" t="s">
        <v>982</v>
      </c>
      <c r="I2249" s="71" t="s">
        <v>2772</v>
      </c>
    </row>
    <row r="2250" spans="1:10" ht="43.5" x14ac:dyDescent="0.35">
      <c r="A2250" s="195">
        <v>16</v>
      </c>
      <c r="B2250" s="195">
        <v>4</v>
      </c>
      <c r="C2250" s="195" t="s">
        <v>2775</v>
      </c>
      <c r="D2250" s="64">
        <v>13950</v>
      </c>
      <c r="E2250" s="195" t="s">
        <v>366</v>
      </c>
      <c r="F2250" s="71" t="s">
        <v>367</v>
      </c>
      <c r="G2250" s="71" t="s">
        <v>371</v>
      </c>
      <c r="H2250" s="71" t="s">
        <v>2776</v>
      </c>
      <c r="I2250" s="71" t="s">
        <v>2772</v>
      </c>
    </row>
    <row r="2251" spans="1:10" ht="43.5" x14ac:dyDescent="0.35">
      <c r="A2251" s="195">
        <v>16</v>
      </c>
      <c r="B2251" s="195">
        <v>5</v>
      </c>
      <c r="C2251" s="195" t="s">
        <v>2777</v>
      </c>
      <c r="D2251" s="64">
        <v>11715</v>
      </c>
      <c r="E2251" s="195" t="s">
        <v>373</v>
      </c>
      <c r="F2251" s="71" t="s">
        <v>367</v>
      </c>
      <c r="G2251" s="71" t="s">
        <v>371</v>
      </c>
      <c r="H2251" s="71" t="s">
        <v>2776</v>
      </c>
      <c r="I2251" s="71" t="s">
        <v>2778</v>
      </c>
    </row>
    <row r="2252" spans="1:10" ht="43.5" x14ac:dyDescent="0.35">
      <c r="A2252" s="195">
        <v>16</v>
      </c>
      <c r="B2252" s="195">
        <v>6</v>
      </c>
      <c r="C2252" s="195" t="s">
        <v>2779</v>
      </c>
      <c r="D2252" s="64">
        <v>1445</v>
      </c>
      <c r="E2252" s="195" t="s">
        <v>373</v>
      </c>
      <c r="F2252" s="71" t="s">
        <v>367</v>
      </c>
      <c r="G2252" s="71" t="s">
        <v>371</v>
      </c>
      <c r="H2252" s="71" t="s">
        <v>2776</v>
      </c>
      <c r="I2252" s="71" t="s">
        <v>2780</v>
      </c>
    </row>
    <row r="2253" spans="1:10" ht="43.5" x14ac:dyDescent="0.35">
      <c r="A2253" s="195">
        <v>16</v>
      </c>
      <c r="B2253" s="195">
        <v>7</v>
      </c>
      <c r="C2253" s="195" t="s">
        <v>2781</v>
      </c>
      <c r="D2253" s="195">
        <v>790</v>
      </c>
      <c r="E2253" s="195" t="s">
        <v>373</v>
      </c>
      <c r="F2253" s="71" t="s">
        <v>367</v>
      </c>
      <c r="G2253" s="71" t="s">
        <v>371</v>
      </c>
      <c r="H2253" s="71" t="s">
        <v>2776</v>
      </c>
      <c r="I2253" s="71" t="s">
        <v>2782</v>
      </c>
    </row>
    <row r="2254" spans="1:10" ht="43.5" x14ac:dyDescent="0.35">
      <c r="A2254" s="195">
        <v>16</v>
      </c>
      <c r="B2254" s="195">
        <v>8</v>
      </c>
      <c r="C2254" s="195" t="s">
        <v>2783</v>
      </c>
      <c r="D2254" s="64">
        <v>23795</v>
      </c>
      <c r="E2254" s="195" t="s">
        <v>366</v>
      </c>
      <c r="F2254" s="71" t="s">
        <v>367</v>
      </c>
      <c r="G2254" s="71" t="s">
        <v>371</v>
      </c>
      <c r="H2254" s="71" t="s">
        <v>2784</v>
      </c>
      <c r="I2254" s="71" t="s">
        <v>2772</v>
      </c>
    </row>
    <row r="2255" spans="1:10" ht="43.5" x14ac:dyDescent="0.35">
      <c r="A2255" s="195">
        <v>16</v>
      </c>
      <c r="B2255" s="195">
        <v>9</v>
      </c>
      <c r="C2255" s="195" t="s">
        <v>2785</v>
      </c>
      <c r="D2255" s="64">
        <v>20420</v>
      </c>
      <c r="E2255" s="195" t="s">
        <v>373</v>
      </c>
      <c r="F2255" s="71" t="s">
        <v>367</v>
      </c>
      <c r="G2255" s="71" t="s">
        <v>371</v>
      </c>
      <c r="H2255" s="71" t="s">
        <v>2784</v>
      </c>
      <c r="I2255" s="71" t="s">
        <v>2778</v>
      </c>
    </row>
    <row r="2256" spans="1:10" ht="43.5" x14ac:dyDescent="0.35">
      <c r="A2256" s="195">
        <v>16</v>
      </c>
      <c r="B2256" s="195">
        <v>10</v>
      </c>
      <c r="C2256" s="195" t="s">
        <v>2786</v>
      </c>
      <c r="D2256" s="64">
        <v>1465</v>
      </c>
      <c r="E2256" s="195" t="s">
        <v>373</v>
      </c>
      <c r="F2256" s="71" t="s">
        <v>367</v>
      </c>
      <c r="G2256" s="71" t="s">
        <v>371</v>
      </c>
      <c r="H2256" s="71" t="s">
        <v>2784</v>
      </c>
      <c r="I2256" s="71" t="s">
        <v>2780</v>
      </c>
    </row>
    <row r="2257" spans="1:9" ht="43.5" x14ac:dyDescent="0.35">
      <c r="A2257" s="195">
        <v>16</v>
      </c>
      <c r="B2257" s="195">
        <v>11</v>
      </c>
      <c r="C2257" s="195" t="s">
        <v>2787</v>
      </c>
      <c r="D2257" s="64">
        <v>1915</v>
      </c>
      <c r="E2257" s="195" t="s">
        <v>373</v>
      </c>
      <c r="F2257" s="71" t="s">
        <v>367</v>
      </c>
      <c r="G2257" s="71" t="s">
        <v>371</v>
      </c>
      <c r="H2257" s="71" t="s">
        <v>2784</v>
      </c>
      <c r="I2257" s="71" t="s">
        <v>2782</v>
      </c>
    </row>
    <row r="2258" spans="1:9" ht="29" x14ac:dyDescent="0.35">
      <c r="A2258" s="195">
        <v>16</v>
      </c>
      <c r="B2258" s="195">
        <v>12</v>
      </c>
      <c r="C2258" s="195" t="s">
        <v>2788</v>
      </c>
      <c r="D2258" s="64">
        <v>7515</v>
      </c>
      <c r="E2258" s="195" t="s">
        <v>366</v>
      </c>
      <c r="F2258" s="71" t="s">
        <v>367</v>
      </c>
      <c r="G2258" s="71" t="s">
        <v>371</v>
      </c>
      <c r="H2258" s="71" t="s">
        <v>2789</v>
      </c>
      <c r="I2258" s="71" t="s">
        <v>2772</v>
      </c>
    </row>
    <row r="2259" spans="1:9" ht="29" x14ac:dyDescent="0.35">
      <c r="A2259" s="195">
        <v>16</v>
      </c>
      <c r="B2259" s="195">
        <v>13</v>
      </c>
      <c r="C2259" s="195" t="s">
        <v>2790</v>
      </c>
      <c r="D2259" s="64">
        <v>6955</v>
      </c>
      <c r="E2259" s="195" t="s">
        <v>373</v>
      </c>
      <c r="F2259" s="71" t="s">
        <v>367</v>
      </c>
      <c r="G2259" s="71" t="s">
        <v>371</v>
      </c>
      <c r="H2259" s="71" t="s">
        <v>2789</v>
      </c>
      <c r="I2259" s="71" t="s">
        <v>2778</v>
      </c>
    </row>
    <row r="2260" spans="1:9" ht="29" x14ac:dyDescent="0.35">
      <c r="A2260" s="195">
        <v>16</v>
      </c>
      <c r="B2260" s="195">
        <v>14</v>
      </c>
      <c r="C2260" s="195" t="s">
        <v>2791</v>
      </c>
      <c r="D2260" s="195">
        <v>425</v>
      </c>
      <c r="E2260" s="195" t="s">
        <v>373</v>
      </c>
      <c r="F2260" s="71" t="s">
        <v>367</v>
      </c>
      <c r="G2260" s="71" t="s">
        <v>371</v>
      </c>
      <c r="H2260" s="71" t="s">
        <v>2789</v>
      </c>
      <c r="I2260" s="71" t="s">
        <v>2780</v>
      </c>
    </row>
    <row r="2261" spans="1:9" ht="43.5" x14ac:dyDescent="0.35">
      <c r="A2261" s="195">
        <v>16</v>
      </c>
      <c r="B2261" s="195">
        <v>15</v>
      </c>
      <c r="C2261" s="195" t="s">
        <v>2792</v>
      </c>
      <c r="D2261" s="195">
        <v>135</v>
      </c>
      <c r="E2261" s="195" t="s">
        <v>373</v>
      </c>
      <c r="F2261" s="71" t="s">
        <v>367</v>
      </c>
      <c r="G2261" s="71" t="s">
        <v>371</v>
      </c>
      <c r="H2261" s="71" t="s">
        <v>2789</v>
      </c>
      <c r="I2261" s="71" t="s">
        <v>2782</v>
      </c>
    </row>
    <row r="2262" spans="1:9" ht="58" x14ac:dyDescent="0.35">
      <c r="A2262" s="195">
        <v>16</v>
      </c>
      <c r="B2262" s="195">
        <v>16</v>
      </c>
      <c r="C2262" s="195" t="s">
        <v>2793</v>
      </c>
      <c r="D2262" s="64">
        <v>38065</v>
      </c>
      <c r="E2262" s="195" t="s">
        <v>366</v>
      </c>
      <c r="F2262" s="71" t="s">
        <v>367</v>
      </c>
      <c r="G2262" s="71" t="s">
        <v>371</v>
      </c>
      <c r="H2262" s="71" t="s">
        <v>2794</v>
      </c>
      <c r="I2262" s="71" t="s">
        <v>2772</v>
      </c>
    </row>
    <row r="2263" spans="1:9" ht="58" x14ac:dyDescent="0.35">
      <c r="A2263" s="195">
        <v>16</v>
      </c>
      <c r="B2263" s="195">
        <v>17</v>
      </c>
      <c r="C2263" s="195" t="s">
        <v>2795</v>
      </c>
      <c r="D2263" s="64">
        <v>30620</v>
      </c>
      <c r="E2263" s="195" t="s">
        <v>373</v>
      </c>
      <c r="F2263" s="71" t="s">
        <v>367</v>
      </c>
      <c r="G2263" s="71" t="s">
        <v>371</v>
      </c>
      <c r="H2263" s="71" t="s">
        <v>2794</v>
      </c>
      <c r="I2263" s="71" t="s">
        <v>2778</v>
      </c>
    </row>
    <row r="2264" spans="1:9" ht="58" x14ac:dyDescent="0.35">
      <c r="A2264" s="195">
        <v>16</v>
      </c>
      <c r="B2264" s="195">
        <v>18</v>
      </c>
      <c r="C2264" s="195" t="s">
        <v>2796</v>
      </c>
      <c r="D2264" s="64">
        <v>4695</v>
      </c>
      <c r="E2264" s="195" t="s">
        <v>373</v>
      </c>
      <c r="F2264" s="71" t="s">
        <v>367</v>
      </c>
      <c r="G2264" s="71" t="s">
        <v>371</v>
      </c>
      <c r="H2264" s="71" t="s">
        <v>2794</v>
      </c>
      <c r="I2264" s="71" t="s">
        <v>2780</v>
      </c>
    </row>
    <row r="2265" spans="1:9" ht="58" x14ac:dyDescent="0.35">
      <c r="A2265" s="195">
        <v>16</v>
      </c>
      <c r="B2265" s="195">
        <v>19</v>
      </c>
      <c r="C2265" s="195" t="s">
        <v>2797</v>
      </c>
      <c r="D2265" s="64">
        <v>2750</v>
      </c>
      <c r="E2265" s="195" t="s">
        <v>373</v>
      </c>
      <c r="F2265" s="71" t="s">
        <v>367</v>
      </c>
      <c r="G2265" s="71" t="s">
        <v>371</v>
      </c>
      <c r="H2265" s="71" t="s">
        <v>2794</v>
      </c>
      <c r="I2265" s="71" t="s">
        <v>2782</v>
      </c>
    </row>
    <row r="2266" spans="1:9" ht="29" x14ac:dyDescent="0.35">
      <c r="A2266" s="195">
        <v>16</v>
      </c>
      <c r="B2266" s="195">
        <v>20</v>
      </c>
      <c r="C2266" s="195" t="s">
        <v>2798</v>
      </c>
      <c r="D2266" s="64">
        <v>20360</v>
      </c>
      <c r="E2266" s="195" t="s">
        <v>366</v>
      </c>
      <c r="F2266" s="71" t="s">
        <v>367</v>
      </c>
      <c r="G2266" s="71" t="s">
        <v>371</v>
      </c>
      <c r="H2266" s="71" t="s">
        <v>2799</v>
      </c>
      <c r="I2266" s="71" t="s">
        <v>2772</v>
      </c>
    </row>
    <row r="2267" spans="1:9" ht="29" x14ac:dyDescent="0.35">
      <c r="A2267" s="195">
        <v>16</v>
      </c>
      <c r="B2267" s="195">
        <v>21</v>
      </c>
      <c r="C2267" s="195" t="s">
        <v>2800</v>
      </c>
      <c r="D2267" s="64">
        <v>15240</v>
      </c>
      <c r="E2267" s="195" t="s">
        <v>373</v>
      </c>
      <c r="F2267" s="71" t="s">
        <v>367</v>
      </c>
      <c r="G2267" s="71" t="s">
        <v>371</v>
      </c>
      <c r="H2267" s="71" t="s">
        <v>2799</v>
      </c>
      <c r="I2267" s="71" t="s">
        <v>2778</v>
      </c>
    </row>
    <row r="2268" spans="1:9" ht="29" x14ac:dyDescent="0.35">
      <c r="A2268" s="195">
        <v>16</v>
      </c>
      <c r="B2268" s="195">
        <v>22</v>
      </c>
      <c r="C2268" s="195" t="s">
        <v>2801</v>
      </c>
      <c r="D2268" s="195">
        <v>645</v>
      </c>
      <c r="E2268" s="195" t="s">
        <v>373</v>
      </c>
      <c r="F2268" s="71" t="s">
        <v>367</v>
      </c>
      <c r="G2268" s="71" t="s">
        <v>371</v>
      </c>
      <c r="H2268" s="71" t="s">
        <v>2799</v>
      </c>
      <c r="I2268" s="71" t="s">
        <v>2780</v>
      </c>
    </row>
    <row r="2269" spans="1:9" ht="43.5" x14ac:dyDescent="0.35">
      <c r="A2269" s="195">
        <v>16</v>
      </c>
      <c r="B2269" s="195">
        <v>23</v>
      </c>
      <c r="C2269" s="195" t="s">
        <v>2802</v>
      </c>
      <c r="D2269" s="64">
        <v>4470</v>
      </c>
      <c r="E2269" s="195" t="s">
        <v>373</v>
      </c>
      <c r="F2269" s="71" t="s">
        <v>367</v>
      </c>
      <c r="G2269" s="71" t="s">
        <v>371</v>
      </c>
      <c r="H2269" s="71" t="s">
        <v>2799</v>
      </c>
      <c r="I2269" s="71" t="s">
        <v>2782</v>
      </c>
    </row>
    <row r="2270" spans="1:9" ht="43.5" x14ac:dyDescent="0.35">
      <c r="A2270" s="195">
        <v>16</v>
      </c>
      <c r="B2270" s="195">
        <v>24</v>
      </c>
      <c r="C2270" s="195" t="s">
        <v>2803</v>
      </c>
      <c r="D2270" s="64">
        <v>118025</v>
      </c>
      <c r="E2270" s="195" t="s">
        <v>366</v>
      </c>
      <c r="F2270" s="71" t="s">
        <v>367</v>
      </c>
      <c r="G2270" s="71" t="s">
        <v>388</v>
      </c>
      <c r="H2270" s="71" t="s">
        <v>982</v>
      </c>
      <c r="I2270" s="71" t="s">
        <v>2772</v>
      </c>
    </row>
    <row r="2271" spans="1:9" ht="43.5" x14ac:dyDescent="0.35">
      <c r="A2271" s="195">
        <v>16</v>
      </c>
      <c r="B2271" s="195">
        <v>25</v>
      </c>
      <c r="C2271" s="195" t="s">
        <v>2804</v>
      </c>
      <c r="D2271" s="64">
        <v>23390</v>
      </c>
      <c r="E2271" s="195" t="s">
        <v>366</v>
      </c>
      <c r="F2271" s="71" t="s">
        <v>367</v>
      </c>
      <c r="G2271" s="71" t="s">
        <v>2805</v>
      </c>
      <c r="H2271" s="71" t="s">
        <v>2776</v>
      </c>
      <c r="I2271" s="71" t="s">
        <v>2772</v>
      </c>
    </row>
    <row r="2272" spans="1:9" ht="43.5" x14ac:dyDescent="0.35">
      <c r="A2272" s="195">
        <v>16</v>
      </c>
      <c r="B2272" s="195">
        <v>26</v>
      </c>
      <c r="C2272" s="195" t="s">
        <v>2806</v>
      </c>
      <c r="D2272" s="64">
        <v>14460</v>
      </c>
      <c r="E2272" s="195" t="s">
        <v>373</v>
      </c>
      <c r="F2272" s="71" t="s">
        <v>367</v>
      </c>
      <c r="G2272" s="71" t="s">
        <v>2805</v>
      </c>
      <c r="H2272" s="71" t="s">
        <v>2776</v>
      </c>
      <c r="I2272" s="71" t="s">
        <v>2778</v>
      </c>
    </row>
    <row r="2273" spans="1:9" ht="43.5" x14ac:dyDescent="0.35">
      <c r="A2273" s="195">
        <v>16</v>
      </c>
      <c r="B2273" s="195">
        <v>27</v>
      </c>
      <c r="C2273" s="195" t="s">
        <v>2807</v>
      </c>
      <c r="D2273" s="64">
        <v>8925</v>
      </c>
      <c r="E2273" s="195" t="s">
        <v>373</v>
      </c>
      <c r="F2273" s="71" t="s">
        <v>367</v>
      </c>
      <c r="G2273" s="71" t="s">
        <v>2805</v>
      </c>
      <c r="H2273" s="71" t="s">
        <v>2776</v>
      </c>
      <c r="I2273" s="71" t="s">
        <v>2780</v>
      </c>
    </row>
    <row r="2274" spans="1:9" ht="43.5" x14ac:dyDescent="0.35">
      <c r="A2274" s="195">
        <v>16</v>
      </c>
      <c r="B2274" s="195">
        <v>28</v>
      </c>
      <c r="C2274" s="195" t="s">
        <v>2808</v>
      </c>
      <c r="D2274" s="195">
        <v>0</v>
      </c>
      <c r="E2274" s="195" t="s">
        <v>373</v>
      </c>
      <c r="F2274" s="71" t="s">
        <v>367</v>
      </c>
      <c r="G2274" s="71" t="s">
        <v>2805</v>
      </c>
      <c r="H2274" s="71" t="s">
        <v>2776</v>
      </c>
      <c r="I2274" s="71" t="s">
        <v>2782</v>
      </c>
    </row>
    <row r="2275" spans="1:9" ht="43.5" x14ac:dyDescent="0.35">
      <c r="A2275" s="195">
        <v>16</v>
      </c>
      <c r="B2275" s="195">
        <v>29</v>
      </c>
      <c r="C2275" s="195" t="s">
        <v>2809</v>
      </c>
      <c r="D2275" s="64">
        <v>31675</v>
      </c>
      <c r="E2275" s="195" t="s">
        <v>366</v>
      </c>
      <c r="F2275" s="71" t="s">
        <v>367</v>
      </c>
      <c r="G2275" s="71" t="s">
        <v>388</v>
      </c>
      <c r="H2275" s="71" t="s">
        <v>2784</v>
      </c>
      <c r="I2275" s="71" t="s">
        <v>2772</v>
      </c>
    </row>
    <row r="2276" spans="1:9" ht="43.5" x14ac:dyDescent="0.35">
      <c r="A2276" s="195">
        <v>16</v>
      </c>
      <c r="B2276" s="195">
        <v>30</v>
      </c>
      <c r="C2276" s="195" t="s">
        <v>2810</v>
      </c>
      <c r="D2276" s="64">
        <v>24100</v>
      </c>
      <c r="E2276" s="195" t="s">
        <v>373</v>
      </c>
      <c r="F2276" s="71" t="s">
        <v>367</v>
      </c>
      <c r="G2276" s="71" t="s">
        <v>388</v>
      </c>
      <c r="H2276" s="71" t="s">
        <v>2784</v>
      </c>
      <c r="I2276" s="71" t="s">
        <v>2778</v>
      </c>
    </row>
    <row r="2277" spans="1:9" ht="43.5" x14ac:dyDescent="0.35">
      <c r="A2277" s="195">
        <v>16</v>
      </c>
      <c r="B2277" s="195">
        <v>31</v>
      </c>
      <c r="C2277" s="195" t="s">
        <v>2811</v>
      </c>
      <c r="D2277" s="64">
        <v>7575</v>
      </c>
      <c r="E2277" s="195" t="s">
        <v>373</v>
      </c>
      <c r="F2277" s="71" t="s">
        <v>367</v>
      </c>
      <c r="G2277" s="71" t="s">
        <v>388</v>
      </c>
      <c r="H2277" s="71" t="s">
        <v>2784</v>
      </c>
      <c r="I2277" s="71" t="s">
        <v>2780</v>
      </c>
    </row>
    <row r="2278" spans="1:9" ht="43.5" x14ac:dyDescent="0.35">
      <c r="A2278" s="195">
        <v>16</v>
      </c>
      <c r="B2278" s="195">
        <v>32</v>
      </c>
      <c r="C2278" s="195" t="s">
        <v>2812</v>
      </c>
      <c r="D2278" s="195">
        <v>0</v>
      </c>
      <c r="E2278" s="195" t="s">
        <v>373</v>
      </c>
      <c r="F2278" s="71" t="s">
        <v>367</v>
      </c>
      <c r="G2278" s="71" t="s">
        <v>388</v>
      </c>
      <c r="H2278" s="71" t="s">
        <v>2784</v>
      </c>
      <c r="I2278" s="71" t="s">
        <v>2782</v>
      </c>
    </row>
    <row r="2279" spans="1:9" ht="43.5" x14ac:dyDescent="0.35">
      <c r="A2279" s="195">
        <v>16</v>
      </c>
      <c r="B2279" s="195">
        <v>33</v>
      </c>
      <c r="C2279" s="195" t="s">
        <v>2813</v>
      </c>
      <c r="D2279" s="64">
        <v>14000</v>
      </c>
      <c r="E2279" s="195" t="s">
        <v>366</v>
      </c>
      <c r="F2279" s="71" t="s">
        <v>367</v>
      </c>
      <c r="G2279" s="71" t="s">
        <v>388</v>
      </c>
      <c r="H2279" s="71" t="s">
        <v>2789</v>
      </c>
      <c r="I2279" s="71" t="s">
        <v>2772</v>
      </c>
    </row>
    <row r="2280" spans="1:9" ht="43.5" x14ac:dyDescent="0.35">
      <c r="A2280" s="195">
        <v>16</v>
      </c>
      <c r="B2280" s="195">
        <v>34</v>
      </c>
      <c r="C2280" s="195" t="s">
        <v>2814</v>
      </c>
      <c r="D2280" s="64">
        <v>11540</v>
      </c>
      <c r="E2280" s="195" t="s">
        <v>373</v>
      </c>
      <c r="F2280" s="71" t="s">
        <v>367</v>
      </c>
      <c r="G2280" s="71" t="s">
        <v>388</v>
      </c>
      <c r="H2280" s="71" t="s">
        <v>2789</v>
      </c>
      <c r="I2280" s="71" t="s">
        <v>2778</v>
      </c>
    </row>
    <row r="2281" spans="1:9" ht="43.5" x14ac:dyDescent="0.35">
      <c r="A2281" s="195">
        <v>16</v>
      </c>
      <c r="B2281" s="195">
        <v>35</v>
      </c>
      <c r="C2281" s="195" t="s">
        <v>2815</v>
      </c>
      <c r="D2281" s="64">
        <v>2465</v>
      </c>
      <c r="E2281" s="195" t="s">
        <v>373</v>
      </c>
      <c r="F2281" s="71" t="s">
        <v>367</v>
      </c>
      <c r="G2281" s="71" t="s">
        <v>388</v>
      </c>
      <c r="H2281" s="71" t="s">
        <v>2789</v>
      </c>
      <c r="I2281" s="71" t="s">
        <v>2780</v>
      </c>
    </row>
    <row r="2282" spans="1:9" ht="43.5" x14ac:dyDescent="0.35">
      <c r="A2282" s="195">
        <v>16</v>
      </c>
      <c r="B2282" s="195">
        <v>36</v>
      </c>
      <c r="C2282" s="195" t="s">
        <v>2816</v>
      </c>
      <c r="D2282" s="195">
        <v>0</v>
      </c>
      <c r="E2282" s="195" t="s">
        <v>373</v>
      </c>
      <c r="F2282" s="71" t="s">
        <v>367</v>
      </c>
      <c r="G2282" s="71" t="s">
        <v>388</v>
      </c>
      <c r="H2282" s="71" t="s">
        <v>2789</v>
      </c>
      <c r="I2282" s="71" t="s">
        <v>2782</v>
      </c>
    </row>
    <row r="2283" spans="1:9" ht="58" x14ac:dyDescent="0.35">
      <c r="A2283" s="195">
        <v>16</v>
      </c>
      <c r="B2283" s="195">
        <v>37</v>
      </c>
      <c r="C2283" s="195" t="s">
        <v>2817</v>
      </c>
      <c r="D2283" s="64">
        <v>36445</v>
      </c>
      <c r="E2283" s="195" t="s">
        <v>366</v>
      </c>
      <c r="F2283" s="71" t="s">
        <v>367</v>
      </c>
      <c r="G2283" s="71" t="s">
        <v>388</v>
      </c>
      <c r="H2283" s="71" t="s">
        <v>2794</v>
      </c>
      <c r="I2283" s="71" t="s">
        <v>2772</v>
      </c>
    </row>
    <row r="2284" spans="1:9" ht="58" x14ac:dyDescent="0.35">
      <c r="A2284" s="195">
        <v>16</v>
      </c>
      <c r="B2284" s="195">
        <v>38</v>
      </c>
      <c r="C2284" s="195" t="s">
        <v>2818</v>
      </c>
      <c r="D2284" s="64">
        <v>22170</v>
      </c>
      <c r="E2284" s="195" t="s">
        <v>373</v>
      </c>
      <c r="F2284" s="71" t="s">
        <v>367</v>
      </c>
      <c r="G2284" s="71" t="s">
        <v>388</v>
      </c>
      <c r="H2284" s="71" t="s">
        <v>2794</v>
      </c>
      <c r="I2284" s="71" t="s">
        <v>2778</v>
      </c>
    </row>
    <row r="2285" spans="1:9" ht="58" x14ac:dyDescent="0.35">
      <c r="A2285" s="195">
        <v>16</v>
      </c>
      <c r="B2285" s="195">
        <v>39</v>
      </c>
      <c r="C2285" s="195" t="s">
        <v>2819</v>
      </c>
      <c r="D2285" s="64">
        <v>14270</v>
      </c>
      <c r="E2285" s="195" t="s">
        <v>373</v>
      </c>
      <c r="F2285" s="71" t="s">
        <v>367</v>
      </c>
      <c r="G2285" s="71" t="s">
        <v>388</v>
      </c>
      <c r="H2285" s="71" t="s">
        <v>2794</v>
      </c>
      <c r="I2285" s="71" t="s">
        <v>2780</v>
      </c>
    </row>
    <row r="2286" spans="1:9" ht="58" x14ac:dyDescent="0.35">
      <c r="A2286" s="195">
        <v>16</v>
      </c>
      <c r="B2286" s="195">
        <v>40</v>
      </c>
      <c r="C2286" s="195" t="s">
        <v>2820</v>
      </c>
      <c r="D2286" s="195">
        <v>0</v>
      </c>
      <c r="E2286" s="195" t="s">
        <v>373</v>
      </c>
      <c r="F2286" s="71" t="s">
        <v>367</v>
      </c>
      <c r="G2286" s="71" t="s">
        <v>388</v>
      </c>
      <c r="H2286" s="71" t="s">
        <v>2794</v>
      </c>
      <c r="I2286" s="71" t="s">
        <v>2782</v>
      </c>
    </row>
    <row r="2287" spans="1:9" ht="43.5" x14ac:dyDescent="0.35">
      <c r="A2287" s="195">
        <v>16</v>
      </c>
      <c r="B2287" s="195">
        <v>41</v>
      </c>
      <c r="C2287" s="195" t="s">
        <v>2821</v>
      </c>
      <c r="D2287" s="64">
        <v>12515</v>
      </c>
      <c r="E2287" s="195" t="s">
        <v>366</v>
      </c>
      <c r="F2287" s="71" t="s">
        <v>367</v>
      </c>
      <c r="G2287" s="71" t="s">
        <v>388</v>
      </c>
      <c r="H2287" s="71" t="s">
        <v>2799</v>
      </c>
      <c r="I2287" s="71" t="s">
        <v>2772</v>
      </c>
    </row>
    <row r="2288" spans="1:9" ht="43.5" x14ac:dyDescent="0.35">
      <c r="A2288" s="195">
        <v>16</v>
      </c>
      <c r="B2288" s="195">
        <v>42</v>
      </c>
      <c r="C2288" s="195" t="s">
        <v>2822</v>
      </c>
      <c r="D2288" s="64">
        <v>10170</v>
      </c>
      <c r="E2288" s="195" t="s">
        <v>373</v>
      </c>
      <c r="F2288" s="71" t="s">
        <v>367</v>
      </c>
      <c r="G2288" s="71" t="s">
        <v>388</v>
      </c>
      <c r="H2288" s="71" t="s">
        <v>2799</v>
      </c>
      <c r="I2288" s="71" t="s">
        <v>2778</v>
      </c>
    </row>
    <row r="2289" spans="1:9" ht="43.5" x14ac:dyDescent="0.35">
      <c r="A2289" s="195">
        <v>16</v>
      </c>
      <c r="B2289" s="195">
        <v>43</v>
      </c>
      <c r="C2289" s="195" t="s">
        <v>2823</v>
      </c>
      <c r="D2289" s="64">
        <v>2340</v>
      </c>
      <c r="E2289" s="195" t="s">
        <v>373</v>
      </c>
      <c r="F2289" s="71" t="s">
        <v>367</v>
      </c>
      <c r="G2289" s="71" t="s">
        <v>388</v>
      </c>
      <c r="H2289" s="71" t="s">
        <v>2799</v>
      </c>
      <c r="I2289" s="71" t="s">
        <v>2780</v>
      </c>
    </row>
    <row r="2290" spans="1:9" ht="43.5" x14ac:dyDescent="0.35">
      <c r="A2290" s="195">
        <v>16</v>
      </c>
      <c r="B2290" s="195">
        <v>44</v>
      </c>
      <c r="C2290" s="195" t="s">
        <v>2824</v>
      </c>
      <c r="D2290" s="195">
        <v>0</v>
      </c>
      <c r="E2290" s="195" t="s">
        <v>373</v>
      </c>
      <c r="F2290" s="71" t="s">
        <v>367</v>
      </c>
      <c r="G2290" s="71" t="s">
        <v>388</v>
      </c>
      <c r="H2290" s="71" t="s">
        <v>2799</v>
      </c>
      <c r="I2290" s="71" t="s">
        <v>2782</v>
      </c>
    </row>
    <row r="2291" spans="1:9" ht="43.5" x14ac:dyDescent="0.35">
      <c r="A2291" s="195">
        <v>16</v>
      </c>
      <c r="B2291" s="195">
        <v>45</v>
      </c>
      <c r="C2291" s="195" t="s">
        <v>2825</v>
      </c>
      <c r="D2291" s="64">
        <v>174115</v>
      </c>
      <c r="E2291" s="195" t="s">
        <v>366</v>
      </c>
      <c r="F2291" s="71" t="s">
        <v>367</v>
      </c>
      <c r="G2291" s="71" t="s">
        <v>397</v>
      </c>
      <c r="H2291" s="71" t="s">
        <v>982</v>
      </c>
      <c r="I2291" s="71" t="s">
        <v>2772</v>
      </c>
    </row>
    <row r="2292" spans="1:9" ht="43.5" x14ac:dyDescent="0.35">
      <c r="A2292" s="195">
        <v>16</v>
      </c>
      <c r="B2292" s="195">
        <v>46</v>
      </c>
      <c r="C2292" s="195" t="s">
        <v>2826</v>
      </c>
      <c r="D2292" s="64">
        <v>33445</v>
      </c>
      <c r="E2292" s="195" t="s">
        <v>366</v>
      </c>
      <c r="F2292" s="71" t="s">
        <v>367</v>
      </c>
      <c r="G2292" s="71" t="s">
        <v>2827</v>
      </c>
      <c r="H2292" s="71" t="s">
        <v>2776</v>
      </c>
      <c r="I2292" s="71" t="s">
        <v>2772</v>
      </c>
    </row>
    <row r="2293" spans="1:9" ht="43.5" x14ac:dyDescent="0.35">
      <c r="A2293" s="195">
        <v>16</v>
      </c>
      <c r="B2293" s="195">
        <v>47</v>
      </c>
      <c r="C2293" s="195" t="s">
        <v>2828</v>
      </c>
      <c r="D2293" s="64">
        <v>12625</v>
      </c>
      <c r="E2293" s="195" t="s">
        <v>373</v>
      </c>
      <c r="F2293" s="71" t="s">
        <v>367</v>
      </c>
      <c r="G2293" s="71" t="s">
        <v>2827</v>
      </c>
      <c r="H2293" s="71" t="s">
        <v>2776</v>
      </c>
      <c r="I2293" s="71" t="s">
        <v>2778</v>
      </c>
    </row>
    <row r="2294" spans="1:9" ht="43.5" x14ac:dyDescent="0.35">
      <c r="A2294" s="195">
        <v>16</v>
      </c>
      <c r="B2294" s="195">
        <v>48</v>
      </c>
      <c r="C2294" s="195" t="s">
        <v>2829</v>
      </c>
      <c r="D2294" s="64">
        <v>20820</v>
      </c>
      <c r="E2294" s="195" t="s">
        <v>373</v>
      </c>
      <c r="F2294" s="71" t="s">
        <v>367</v>
      </c>
      <c r="G2294" s="71" t="s">
        <v>2827</v>
      </c>
      <c r="H2294" s="71" t="s">
        <v>2776</v>
      </c>
      <c r="I2294" s="71" t="s">
        <v>2780</v>
      </c>
    </row>
    <row r="2295" spans="1:9" ht="43.5" x14ac:dyDescent="0.35">
      <c r="A2295" s="195">
        <v>16</v>
      </c>
      <c r="B2295" s="195">
        <v>49</v>
      </c>
      <c r="C2295" s="195" t="s">
        <v>2830</v>
      </c>
      <c r="D2295" s="195">
        <v>0</v>
      </c>
      <c r="E2295" s="195" t="s">
        <v>373</v>
      </c>
      <c r="F2295" s="71" t="s">
        <v>367</v>
      </c>
      <c r="G2295" s="71" t="s">
        <v>2827</v>
      </c>
      <c r="H2295" s="71" t="s">
        <v>2776</v>
      </c>
      <c r="I2295" s="71" t="s">
        <v>2782</v>
      </c>
    </row>
    <row r="2296" spans="1:9" ht="43.5" x14ac:dyDescent="0.35">
      <c r="A2296" s="195">
        <v>16</v>
      </c>
      <c r="B2296" s="195">
        <v>50</v>
      </c>
      <c r="C2296" s="195" t="s">
        <v>2831</v>
      </c>
      <c r="D2296" s="64">
        <v>63175</v>
      </c>
      <c r="E2296" s="195" t="s">
        <v>366</v>
      </c>
      <c r="F2296" s="71" t="s">
        <v>367</v>
      </c>
      <c r="G2296" s="71" t="s">
        <v>397</v>
      </c>
      <c r="H2296" s="71" t="s">
        <v>2784</v>
      </c>
      <c r="I2296" s="71" t="s">
        <v>2772</v>
      </c>
    </row>
    <row r="2297" spans="1:9" ht="43.5" x14ac:dyDescent="0.35">
      <c r="A2297" s="195">
        <v>16</v>
      </c>
      <c r="B2297" s="195">
        <v>51</v>
      </c>
      <c r="C2297" s="195" t="s">
        <v>2832</v>
      </c>
      <c r="D2297" s="64">
        <v>36315</v>
      </c>
      <c r="E2297" s="195" t="s">
        <v>373</v>
      </c>
      <c r="F2297" s="71" t="s">
        <v>367</v>
      </c>
      <c r="G2297" s="71" t="s">
        <v>397</v>
      </c>
      <c r="H2297" s="71" t="s">
        <v>2784</v>
      </c>
      <c r="I2297" s="71" t="s">
        <v>2778</v>
      </c>
    </row>
    <row r="2298" spans="1:9" ht="43.5" x14ac:dyDescent="0.35">
      <c r="A2298" s="195">
        <v>16</v>
      </c>
      <c r="B2298" s="195">
        <v>52</v>
      </c>
      <c r="C2298" s="195" t="s">
        <v>2833</v>
      </c>
      <c r="D2298" s="64">
        <v>26860</v>
      </c>
      <c r="E2298" s="195" t="s">
        <v>373</v>
      </c>
      <c r="F2298" s="71" t="s">
        <v>367</v>
      </c>
      <c r="G2298" s="71" t="s">
        <v>397</v>
      </c>
      <c r="H2298" s="71" t="s">
        <v>2784</v>
      </c>
      <c r="I2298" s="71" t="s">
        <v>2780</v>
      </c>
    </row>
    <row r="2299" spans="1:9" ht="43.5" x14ac:dyDescent="0.35">
      <c r="A2299" s="195">
        <v>16</v>
      </c>
      <c r="B2299" s="195">
        <v>53</v>
      </c>
      <c r="C2299" s="195" t="s">
        <v>2834</v>
      </c>
      <c r="D2299" s="195">
        <v>0</v>
      </c>
      <c r="E2299" s="195" t="s">
        <v>373</v>
      </c>
      <c r="F2299" s="71" t="s">
        <v>367</v>
      </c>
      <c r="G2299" s="71" t="s">
        <v>397</v>
      </c>
      <c r="H2299" s="71" t="s">
        <v>2784</v>
      </c>
      <c r="I2299" s="71" t="s">
        <v>2782</v>
      </c>
    </row>
    <row r="2300" spans="1:9" ht="43.5" x14ac:dyDescent="0.35">
      <c r="A2300" s="195">
        <v>16</v>
      </c>
      <c r="B2300" s="195">
        <v>54</v>
      </c>
      <c r="C2300" s="195" t="s">
        <v>2835</v>
      </c>
      <c r="D2300" s="64">
        <v>22485</v>
      </c>
      <c r="E2300" s="195" t="s">
        <v>366</v>
      </c>
      <c r="F2300" s="71" t="s">
        <v>367</v>
      </c>
      <c r="G2300" s="71" t="s">
        <v>397</v>
      </c>
      <c r="H2300" s="71" t="s">
        <v>2789</v>
      </c>
      <c r="I2300" s="71" t="s">
        <v>2772</v>
      </c>
    </row>
    <row r="2301" spans="1:9" ht="43.5" x14ac:dyDescent="0.35">
      <c r="A2301" s="195">
        <v>16</v>
      </c>
      <c r="B2301" s="195">
        <v>55</v>
      </c>
      <c r="C2301" s="195" t="s">
        <v>2836</v>
      </c>
      <c r="D2301" s="64">
        <v>13550</v>
      </c>
      <c r="E2301" s="195" t="s">
        <v>373</v>
      </c>
      <c r="F2301" s="71" t="s">
        <v>367</v>
      </c>
      <c r="G2301" s="71" t="s">
        <v>397</v>
      </c>
      <c r="H2301" s="71" t="s">
        <v>2789</v>
      </c>
      <c r="I2301" s="71" t="s">
        <v>2778</v>
      </c>
    </row>
    <row r="2302" spans="1:9" ht="43.5" x14ac:dyDescent="0.35">
      <c r="A2302" s="195">
        <v>16</v>
      </c>
      <c r="B2302" s="195">
        <v>56</v>
      </c>
      <c r="C2302" s="195" t="s">
        <v>2837</v>
      </c>
      <c r="D2302" s="64">
        <v>8935</v>
      </c>
      <c r="E2302" s="195" t="s">
        <v>373</v>
      </c>
      <c r="F2302" s="71" t="s">
        <v>367</v>
      </c>
      <c r="G2302" s="71" t="s">
        <v>397</v>
      </c>
      <c r="H2302" s="71" t="s">
        <v>2789</v>
      </c>
      <c r="I2302" s="71" t="s">
        <v>2780</v>
      </c>
    </row>
    <row r="2303" spans="1:9" ht="43.5" x14ac:dyDescent="0.35">
      <c r="A2303" s="195">
        <v>16</v>
      </c>
      <c r="B2303" s="195">
        <v>57</v>
      </c>
      <c r="C2303" s="195" t="s">
        <v>2838</v>
      </c>
      <c r="D2303" s="195">
        <v>0</v>
      </c>
      <c r="E2303" s="195" t="s">
        <v>373</v>
      </c>
      <c r="F2303" s="71" t="s">
        <v>367</v>
      </c>
      <c r="G2303" s="71" t="s">
        <v>397</v>
      </c>
      <c r="H2303" s="71" t="s">
        <v>2789</v>
      </c>
      <c r="I2303" s="71" t="s">
        <v>2782</v>
      </c>
    </row>
    <row r="2304" spans="1:9" ht="58" x14ac:dyDescent="0.35">
      <c r="A2304" s="195">
        <v>16</v>
      </c>
      <c r="B2304" s="195">
        <v>58</v>
      </c>
      <c r="C2304" s="195" t="s">
        <v>2839</v>
      </c>
      <c r="D2304" s="64">
        <v>30760</v>
      </c>
      <c r="E2304" s="195" t="s">
        <v>366</v>
      </c>
      <c r="F2304" s="71" t="s">
        <v>367</v>
      </c>
      <c r="G2304" s="71" t="s">
        <v>397</v>
      </c>
      <c r="H2304" s="71" t="s">
        <v>2794</v>
      </c>
      <c r="I2304" s="71" t="s">
        <v>2772</v>
      </c>
    </row>
    <row r="2305" spans="1:9" ht="58" x14ac:dyDescent="0.35">
      <c r="A2305" s="195">
        <v>16</v>
      </c>
      <c r="B2305" s="195">
        <v>59</v>
      </c>
      <c r="C2305" s="195" t="s">
        <v>2840</v>
      </c>
      <c r="D2305" s="64">
        <v>11490</v>
      </c>
      <c r="E2305" s="195" t="s">
        <v>373</v>
      </c>
      <c r="F2305" s="71" t="s">
        <v>367</v>
      </c>
      <c r="G2305" s="71" t="s">
        <v>397</v>
      </c>
      <c r="H2305" s="71" t="s">
        <v>2794</v>
      </c>
      <c r="I2305" s="71" t="s">
        <v>2778</v>
      </c>
    </row>
    <row r="2306" spans="1:9" ht="58" x14ac:dyDescent="0.35">
      <c r="A2306" s="195">
        <v>16</v>
      </c>
      <c r="B2306" s="195">
        <v>60</v>
      </c>
      <c r="C2306" s="195" t="s">
        <v>2841</v>
      </c>
      <c r="D2306" s="64">
        <v>19270</v>
      </c>
      <c r="E2306" s="195" t="s">
        <v>373</v>
      </c>
      <c r="F2306" s="71" t="s">
        <v>367</v>
      </c>
      <c r="G2306" s="71" t="s">
        <v>397</v>
      </c>
      <c r="H2306" s="71" t="s">
        <v>2794</v>
      </c>
      <c r="I2306" s="71" t="s">
        <v>2780</v>
      </c>
    </row>
    <row r="2307" spans="1:9" ht="58" x14ac:dyDescent="0.35">
      <c r="A2307" s="195">
        <v>16</v>
      </c>
      <c r="B2307" s="195">
        <v>61</v>
      </c>
      <c r="C2307" s="195" t="s">
        <v>2842</v>
      </c>
      <c r="D2307" s="195">
        <v>0</v>
      </c>
      <c r="E2307" s="195" t="s">
        <v>373</v>
      </c>
      <c r="F2307" s="71" t="s">
        <v>367</v>
      </c>
      <c r="G2307" s="71" t="s">
        <v>397</v>
      </c>
      <c r="H2307" s="71" t="s">
        <v>2794</v>
      </c>
      <c r="I2307" s="71" t="s">
        <v>2782</v>
      </c>
    </row>
    <row r="2308" spans="1:9" ht="43.5" x14ac:dyDescent="0.35">
      <c r="A2308" s="195">
        <v>16</v>
      </c>
      <c r="B2308" s="195">
        <v>62</v>
      </c>
      <c r="C2308" s="195" t="s">
        <v>2843</v>
      </c>
      <c r="D2308" s="64">
        <v>24250</v>
      </c>
      <c r="E2308" s="195" t="s">
        <v>366</v>
      </c>
      <c r="F2308" s="71" t="s">
        <v>367</v>
      </c>
      <c r="G2308" s="71" t="s">
        <v>397</v>
      </c>
      <c r="H2308" s="71" t="s">
        <v>2799</v>
      </c>
      <c r="I2308" s="71" t="s">
        <v>2772</v>
      </c>
    </row>
    <row r="2309" spans="1:9" ht="43.5" x14ac:dyDescent="0.35">
      <c r="A2309" s="195">
        <v>16</v>
      </c>
      <c r="B2309" s="195">
        <v>63</v>
      </c>
      <c r="C2309" s="195" t="s">
        <v>2844</v>
      </c>
      <c r="D2309" s="64">
        <v>14920</v>
      </c>
      <c r="E2309" s="195" t="s">
        <v>373</v>
      </c>
      <c r="F2309" s="71" t="s">
        <v>367</v>
      </c>
      <c r="G2309" s="71" t="s">
        <v>397</v>
      </c>
      <c r="H2309" s="71" t="s">
        <v>2799</v>
      </c>
      <c r="I2309" s="71" t="s">
        <v>2778</v>
      </c>
    </row>
    <row r="2310" spans="1:9" ht="43.5" x14ac:dyDescent="0.35">
      <c r="A2310" s="195">
        <v>16</v>
      </c>
      <c r="B2310" s="195">
        <v>64</v>
      </c>
      <c r="C2310" s="195" t="s">
        <v>2845</v>
      </c>
      <c r="D2310" s="64">
        <v>9330</v>
      </c>
      <c r="E2310" s="195" t="s">
        <v>373</v>
      </c>
      <c r="F2310" s="71" t="s">
        <v>367</v>
      </c>
      <c r="G2310" s="71" t="s">
        <v>397</v>
      </c>
      <c r="H2310" s="71" t="s">
        <v>2799</v>
      </c>
      <c r="I2310" s="71" t="s">
        <v>2780</v>
      </c>
    </row>
    <row r="2311" spans="1:9" ht="43.5" x14ac:dyDescent="0.35">
      <c r="A2311" s="195">
        <v>16</v>
      </c>
      <c r="B2311" s="195">
        <v>65</v>
      </c>
      <c r="C2311" s="195" t="s">
        <v>2846</v>
      </c>
      <c r="D2311" s="195">
        <v>0</v>
      </c>
      <c r="E2311" s="195" t="s">
        <v>373</v>
      </c>
      <c r="F2311" s="71" t="s">
        <v>367</v>
      </c>
      <c r="G2311" s="71" t="s">
        <v>397</v>
      </c>
      <c r="H2311" s="71" t="s">
        <v>2799</v>
      </c>
      <c r="I2311" s="71" t="s">
        <v>2782</v>
      </c>
    </row>
    <row r="2312" spans="1:9" ht="29" x14ac:dyDescent="0.35">
      <c r="A2312" s="195">
        <v>16</v>
      </c>
      <c r="B2312" s="195">
        <v>66</v>
      </c>
      <c r="C2312" s="195" t="s">
        <v>2847</v>
      </c>
      <c r="D2312" s="64">
        <v>709345</v>
      </c>
      <c r="E2312" s="195" t="s">
        <v>366</v>
      </c>
      <c r="F2312" s="71" t="s">
        <v>367</v>
      </c>
      <c r="G2312" s="71" t="s">
        <v>2848</v>
      </c>
      <c r="H2312" s="71" t="s">
        <v>982</v>
      </c>
      <c r="I2312" s="71" t="s">
        <v>2772</v>
      </c>
    </row>
    <row r="2313" spans="1:9" ht="43.5" x14ac:dyDescent="0.35">
      <c r="A2313" s="195">
        <v>16</v>
      </c>
      <c r="B2313" s="195">
        <v>67</v>
      </c>
      <c r="C2313" s="195" t="s">
        <v>2849</v>
      </c>
      <c r="D2313" s="64">
        <v>105580</v>
      </c>
      <c r="E2313" s="195" t="s">
        <v>366</v>
      </c>
      <c r="F2313" s="71" t="s">
        <v>367</v>
      </c>
      <c r="G2313" s="71" t="s">
        <v>2848</v>
      </c>
      <c r="H2313" s="71" t="s">
        <v>2776</v>
      </c>
      <c r="I2313" s="71" t="s">
        <v>2772</v>
      </c>
    </row>
    <row r="2314" spans="1:9" ht="43.5" x14ac:dyDescent="0.35">
      <c r="A2314" s="195">
        <v>16</v>
      </c>
      <c r="B2314" s="195">
        <v>68</v>
      </c>
      <c r="C2314" s="195" t="s">
        <v>2850</v>
      </c>
      <c r="D2314" s="64">
        <v>13120</v>
      </c>
      <c r="E2314" s="195" t="s">
        <v>373</v>
      </c>
      <c r="F2314" s="71" t="s">
        <v>367</v>
      </c>
      <c r="G2314" s="71" t="s">
        <v>2848</v>
      </c>
      <c r="H2314" s="71" t="s">
        <v>2776</v>
      </c>
      <c r="I2314" s="71" t="s">
        <v>2778</v>
      </c>
    </row>
    <row r="2315" spans="1:9" ht="43.5" x14ac:dyDescent="0.35">
      <c r="A2315" s="195">
        <v>16</v>
      </c>
      <c r="B2315" s="195">
        <v>69</v>
      </c>
      <c r="C2315" s="195" t="s">
        <v>2851</v>
      </c>
      <c r="D2315" s="64">
        <v>92460</v>
      </c>
      <c r="E2315" s="195" t="s">
        <v>373</v>
      </c>
      <c r="F2315" s="71" t="s">
        <v>367</v>
      </c>
      <c r="G2315" s="71" t="s">
        <v>2848</v>
      </c>
      <c r="H2315" s="71" t="s">
        <v>2776</v>
      </c>
      <c r="I2315" s="71" t="s">
        <v>2780</v>
      </c>
    </row>
    <row r="2316" spans="1:9" ht="43.5" x14ac:dyDescent="0.35">
      <c r="A2316" s="195">
        <v>16</v>
      </c>
      <c r="B2316" s="195">
        <v>70</v>
      </c>
      <c r="C2316" s="195" t="s">
        <v>2852</v>
      </c>
      <c r="D2316" s="195">
        <v>0</v>
      </c>
      <c r="E2316" s="195" t="s">
        <v>373</v>
      </c>
      <c r="F2316" s="71" t="s">
        <v>367</v>
      </c>
      <c r="G2316" s="71" t="s">
        <v>2848</v>
      </c>
      <c r="H2316" s="71" t="s">
        <v>2776</v>
      </c>
      <c r="I2316" s="71" t="s">
        <v>2782</v>
      </c>
    </row>
    <row r="2317" spans="1:9" ht="43.5" x14ac:dyDescent="0.35">
      <c r="A2317" s="195">
        <v>16</v>
      </c>
      <c r="B2317" s="195">
        <v>71</v>
      </c>
      <c r="C2317" s="195" t="s">
        <v>2853</v>
      </c>
      <c r="D2317" s="64">
        <v>359070</v>
      </c>
      <c r="E2317" s="195" t="s">
        <v>366</v>
      </c>
      <c r="F2317" s="71" t="s">
        <v>367</v>
      </c>
      <c r="G2317" s="71" t="s">
        <v>2848</v>
      </c>
      <c r="H2317" s="71" t="s">
        <v>2784</v>
      </c>
      <c r="I2317" s="71" t="s">
        <v>2772</v>
      </c>
    </row>
    <row r="2318" spans="1:9" ht="43.5" x14ac:dyDescent="0.35">
      <c r="A2318" s="195">
        <v>16</v>
      </c>
      <c r="B2318" s="195">
        <v>72</v>
      </c>
      <c r="C2318" s="195" t="s">
        <v>2854</v>
      </c>
      <c r="D2318" s="64">
        <v>44610</v>
      </c>
      <c r="E2318" s="195" t="s">
        <v>373</v>
      </c>
      <c r="F2318" s="71" t="s">
        <v>367</v>
      </c>
      <c r="G2318" s="71" t="s">
        <v>2848</v>
      </c>
      <c r="H2318" s="71" t="s">
        <v>2784</v>
      </c>
      <c r="I2318" s="71" t="s">
        <v>2778</v>
      </c>
    </row>
    <row r="2319" spans="1:9" ht="43.5" x14ac:dyDescent="0.35">
      <c r="A2319" s="195">
        <v>16</v>
      </c>
      <c r="B2319" s="195">
        <v>73</v>
      </c>
      <c r="C2319" s="195" t="s">
        <v>2855</v>
      </c>
      <c r="D2319" s="64">
        <v>314465</v>
      </c>
      <c r="E2319" s="195" t="s">
        <v>373</v>
      </c>
      <c r="F2319" s="71" t="s">
        <v>367</v>
      </c>
      <c r="G2319" s="71" t="s">
        <v>2848</v>
      </c>
      <c r="H2319" s="71" t="s">
        <v>2784</v>
      </c>
      <c r="I2319" s="71" t="s">
        <v>2780</v>
      </c>
    </row>
    <row r="2320" spans="1:9" ht="43.5" x14ac:dyDescent="0.35">
      <c r="A2320" s="195">
        <v>16</v>
      </c>
      <c r="B2320" s="195">
        <v>74</v>
      </c>
      <c r="C2320" s="195" t="s">
        <v>2856</v>
      </c>
      <c r="D2320" s="195">
        <v>0</v>
      </c>
      <c r="E2320" s="195" t="s">
        <v>373</v>
      </c>
      <c r="F2320" s="71" t="s">
        <v>367</v>
      </c>
      <c r="G2320" s="71" t="s">
        <v>2848</v>
      </c>
      <c r="H2320" s="71" t="s">
        <v>2784</v>
      </c>
      <c r="I2320" s="71" t="s">
        <v>2782</v>
      </c>
    </row>
    <row r="2321" spans="1:9" ht="29" x14ac:dyDescent="0.35">
      <c r="A2321" s="195">
        <v>16</v>
      </c>
      <c r="B2321" s="195">
        <v>75</v>
      </c>
      <c r="C2321" s="195" t="s">
        <v>2857</v>
      </c>
      <c r="D2321" s="64">
        <v>78510</v>
      </c>
      <c r="E2321" s="195" t="s">
        <v>366</v>
      </c>
      <c r="F2321" s="71" t="s">
        <v>367</v>
      </c>
      <c r="G2321" s="71" t="s">
        <v>2848</v>
      </c>
      <c r="H2321" s="71" t="s">
        <v>2789</v>
      </c>
      <c r="I2321" s="71" t="s">
        <v>2772</v>
      </c>
    </row>
    <row r="2322" spans="1:9" ht="29" x14ac:dyDescent="0.35">
      <c r="A2322" s="195">
        <v>16</v>
      </c>
      <c r="B2322" s="195">
        <v>76</v>
      </c>
      <c r="C2322" s="195" t="s">
        <v>2858</v>
      </c>
      <c r="D2322" s="64">
        <v>17065</v>
      </c>
      <c r="E2322" s="195" t="s">
        <v>373</v>
      </c>
      <c r="F2322" s="71" t="s">
        <v>367</v>
      </c>
      <c r="G2322" s="71" t="s">
        <v>2848</v>
      </c>
      <c r="H2322" s="71" t="s">
        <v>2789</v>
      </c>
      <c r="I2322" s="71" t="s">
        <v>2778</v>
      </c>
    </row>
    <row r="2323" spans="1:9" ht="29" x14ac:dyDescent="0.35">
      <c r="A2323" s="195">
        <v>16</v>
      </c>
      <c r="B2323" s="195">
        <v>77</v>
      </c>
      <c r="C2323" s="195" t="s">
        <v>2859</v>
      </c>
      <c r="D2323" s="64">
        <v>61445</v>
      </c>
      <c r="E2323" s="195" t="s">
        <v>373</v>
      </c>
      <c r="F2323" s="71" t="s">
        <v>367</v>
      </c>
      <c r="G2323" s="71" t="s">
        <v>2848</v>
      </c>
      <c r="H2323" s="71" t="s">
        <v>2789</v>
      </c>
      <c r="I2323" s="71" t="s">
        <v>2780</v>
      </c>
    </row>
    <row r="2324" spans="1:9" ht="43.5" x14ac:dyDescent="0.35">
      <c r="A2324" s="195">
        <v>16</v>
      </c>
      <c r="B2324" s="195">
        <v>78</v>
      </c>
      <c r="C2324" s="195" t="s">
        <v>2860</v>
      </c>
      <c r="D2324" s="195">
        <v>0</v>
      </c>
      <c r="E2324" s="195" t="s">
        <v>373</v>
      </c>
      <c r="F2324" s="71" t="s">
        <v>367</v>
      </c>
      <c r="G2324" s="71" t="s">
        <v>2848</v>
      </c>
      <c r="H2324" s="71" t="s">
        <v>2789</v>
      </c>
      <c r="I2324" s="71" t="s">
        <v>2782</v>
      </c>
    </row>
    <row r="2325" spans="1:9" ht="58" x14ac:dyDescent="0.35">
      <c r="A2325" s="195">
        <v>16</v>
      </c>
      <c r="B2325" s="195">
        <v>79</v>
      </c>
      <c r="C2325" s="195" t="s">
        <v>2861</v>
      </c>
      <c r="D2325" s="64">
        <v>49625</v>
      </c>
      <c r="E2325" s="195" t="s">
        <v>366</v>
      </c>
      <c r="F2325" s="71" t="s">
        <v>367</v>
      </c>
      <c r="G2325" s="71" t="s">
        <v>2848</v>
      </c>
      <c r="H2325" s="71" t="s">
        <v>2794</v>
      </c>
      <c r="I2325" s="71" t="s">
        <v>2772</v>
      </c>
    </row>
    <row r="2326" spans="1:9" ht="58" x14ac:dyDescent="0.35">
      <c r="A2326" s="195">
        <v>16</v>
      </c>
      <c r="B2326" s="195">
        <v>80</v>
      </c>
      <c r="C2326" s="195" t="s">
        <v>2862</v>
      </c>
      <c r="D2326" s="64">
        <v>7820</v>
      </c>
      <c r="E2326" s="195" t="s">
        <v>373</v>
      </c>
      <c r="F2326" s="71" t="s">
        <v>367</v>
      </c>
      <c r="G2326" s="71" t="s">
        <v>2848</v>
      </c>
      <c r="H2326" s="71" t="s">
        <v>2794</v>
      </c>
      <c r="I2326" s="71" t="s">
        <v>2778</v>
      </c>
    </row>
    <row r="2327" spans="1:9" ht="58" x14ac:dyDescent="0.35">
      <c r="A2327" s="195">
        <v>16</v>
      </c>
      <c r="B2327" s="195">
        <v>81</v>
      </c>
      <c r="C2327" s="195" t="s">
        <v>2863</v>
      </c>
      <c r="D2327" s="64">
        <v>41805</v>
      </c>
      <c r="E2327" s="195" t="s">
        <v>373</v>
      </c>
      <c r="F2327" s="71" t="s">
        <v>367</v>
      </c>
      <c r="G2327" s="71" t="s">
        <v>2848</v>
      </c>
      <c r="H2327" s="71" t="s">
        <v>2794</v>
      </c>
      <c r="I2327" s="71" t="s">
        <v>2780</v>
      </c>
    </row>
    <row r="2328" spans="1:9" ht="58" x14ac:dyDescent="0.35">
      <c r="A2328" s="195">
        <v>16</v>
      </c>
      <c r="B2328" s="195">
        <v>82</v>
      </c>
      <c r="C2328" s="195" t="s">
        <v>2864</v>
      </c>
      <c r="D2328" s="195">
        <v>0</v>
      </c>
      <c r="E2328" s="195" t="s">
        <v>373</v>
      </c>
      <c r="F2328" s="71" t="s">
        <v>367</v>
      </c>
      <c r="G2328" s="71" t="s">
        <v>2848</v>
      </c>
      <c r="H2328" s="71" t="s">
        <v>2794</v>
      </c>
      <c r="I2328" s="71" t="s">
        <v>2782</v>
      </c>
    </row>
    <row r="2329" spans="1:9" ht="29" x14ac:dyDescent="0.35">
      <c r="A2329" s="195">
        <v>16</v>
      </c>
      <c r="B2329" s="195">
        <v>83</v>
      </c>
      <c r="C2329" s="195" t="s">
        <v>2865</v>
      </c>
      <c r="D2329" s="64">
        <v>116555</v>
      </c>
      <c r="E2329" s="195" t="s">
        <v>366</v>
      </c>
      <c r="F2329" s="71" t="s">
        <v>367</v>
      </c>
      <c r="G2329" s="71" t="s">
        <v>2848</v>
      </c>
      <c r="H2329" s="71" t="s">
        <v>2799</v>
      </c>
      <c r="I2329" s="71" t="s">
        <v>2772</v>
      </c>
    </row>
    <row r="2330" spans="1:9" ht="29" x14ac:dyDescent="0.35">
      <c r="A2330" s="195">
        <v>16</v>
      </c>
      <c r="B2330" s="195">
        <v>84</v>
      </c>
      <c r="C2330" s="195" t="s">
        <v>2866</v>
      </c>
      <c r="D2330" s="64">
        <v>23600</v>
      </c>
      <c r="E2330" s="195" t="s">
        <v>373</v>
      </c>
      <c r="F2330" s="71" t="s">
        <v>367</v>
      </c>
      <c r="G2330" s="71" t="s">
        <v>2848</v>
      </c>
      <c r="H2330" s="71" t="s">
        <v>2799</v>
      </c>
      <c r="I2330" s="71" t="s">
        <v>2778</v>
      </c>
    </row>
    <row r="2331" spans="1:9" ht="29" x14ac:dyDescent="0.35">
      <c r="A2331" s="195">
        <v>16</v>
      </c>
      <c r="B2331" s="195">
        <v>85</v>
      </c>
      <c r="C2331" s="195" t="s">
        <v>2867</v>
      </c>
      <c r="D2331" s="64">
        <v>92960</v>
      </c>
      <c r="E2331" s="195" t="s">
        <v>373</v>
      </c>
      <c r="F2331" s="71" t="s">
        <v>367</v>
      </c>
      <c r="G2331" s="71" t="s">
        <v>2848</v>
      </c>
      <c r="H2331" s="71" t="s">
        <v>2799</v>
      </c>
      <c r="I2331" s="71" t="s">
        <v>2780</v>
      </c>
    </row>
    <row r="2332" spans="1:9" ht="43.5" x14ac:dyDescent="0.35">
      <c r="A2332" s="195">
        <v>16</v>
      </c>
      <c r="B2332" s="195">
        <v>86</v>
      </c>
      <c r="C2332" s="195" t="s">
        <v>2868</v>
      </c>
      <c r="D2332" s="195">
        <v>0</v>
      </c>
      <c r="E2332" s="195" t="s">
        <v>373</v>
      </c>
      <c r="F2332" s="71" t="s">
        <v>367</v>
      </c>
      <c r="G2332" s="71" t="s">
        <v>2848</v>
      </c>
      <c r="H2332" s="71" t="s">
        <v>2799</v>
      </c>
      <c r="I2332" s="71" t="s">
        <v>2782</v>
      </c>
    </row>
    <row r="2333" spans="1:9" x14ac:dyDescent="0.35">
      <c r="A2333" s="195">
        <v>16</v>
      </c>
      <c r="B2333" s="195">
        <v>87</v>
      </c>
      <c r="C2333" s="195" t="s">
        <v>2869</v>
      </c>
      <c r="D2333" s="64">
        <v>846440</v>
      </c>
      <c r="E2333" s="195" t="s">
        <v>366</v>
      </c>
      <c r="F2333" s="71" t="s">
        <v>508</v>
      </c>
      <c r="G2333" s="71" t="s">
        <v>363</v>
      </c>
      <c r="H2333" s="71" t="s">
        <v>982</v>
      </c>
      <c r="I2333" s="71" t="s">
        <v>2772</v>
      </c>
    </row>
    <row r="2334" spans="1:9" ht="29" x14ac:dyDescent="0.35">
      <c r="A2334" s="195">
        <v>16</v>
      </c>
      <c r="B2334" s="195">
        <v>88</v>
      </c>
      <c r="C2334" s="195" t="s">
        <v>2870</v>
      </c>
      <c r="D2334" s="64">
        <v>263215</v>
      </c>
      <c r="E2334" s="195" t="s">
        <v>366</v>
      </c>
      <c r="F2334" s="71" t="s">
        <v>508</v>
      </c>
      <c r="G2334" s="71" t="s">
        <v>371</v>
      </c>
      <c r="H2334" s="71" t="s">
        <v>982</v>
      </c>
      <c r="I2334" s="71" t="s">
        <v>2772</v>
      </c>
    </row>
    <row r="2335" spans="1:9" ht="43.5" x14ac:dyDescent="0.35">
      <c r="A2335" s="195">
        <v>16</v>
      </c>
      <c r="B2335" s="195">
        <v>89</v>
      </c>
      <c r="C2335" s="195" t="s">
        <v>2871</v>
      </c>
      <c r="D2335" s="64">
        <v>11215</v>
      </c>
      <c r="E2335" s="195" t="s">
        <v>366</v>
      </c>
      <c r="F2335" s="71" t="s">
        <v>508</v>
      </c>
      <c r="G2335" s="71" t="s">
        <v>371</v>
      </c>
      <c r="H2335" s="71" t="s">
        <v>2776</v>
      </c>
      <c r="I2335" s="71" t="s">
        <v>2772</v>
      </c>
    </row>
    <row r="2336" spans="1:9" ht="43.5" x14ac:dyDescent="0.35">
      <c r="A2336" s="195">
        <v>16</v>
      </c>
      <c r="B2336" s="195">
        <v>90</v>
      </c>
      <c r="C2336" s="195" t="s">
        <v>2872</v>
      </c>
      <c r="D2336" s="64">
        <v>8320</v>
      </c>
      <c r="E2336" s="195" t="s">
        <v>373</v>
      </c>
      <c r="F2336" s="71" t="s">
        <v>508</v>
      </c>
      <c r="G2336" s="71" t="s">
        <v>371</v>
      </c>
      <c r="H2336" s="71" t="s">
        <v>2776</v>
      </c>
      <c r="I2336" s="71" t="s">
        <v>2778</v>
      </c>
    </row>
    <row r="2337" spans="1:9" ht="43.5" x14ac:dyDescent="0.35">
      <c r="A2337" s="195">
        <v>16</v>
      </c>
      <c r="B2337" s="195">
        <v>91</v>
      </c>
      <c r="C2337" s="195" t="s">
        <v>2873</v>
      </c>
      <c r="D2337" s="64">
        <v>2170</v>
      </c>
      <c r="E2337" s="195" t="s">
        <v>373</v>
      </c>
      <c r="F2337" s="71" t="s">
        <v>508</v>
      </c>
      <c r="G2337" s="71" t="s">
        <v>371</v>
      </c>
      <c r="H2337" s="71" t="s">
        <v>2776</v>
      </c>
      <c r="I2337" s="71" t="s">
        <v>2780</v>
      </c>
    </row>
    <row r="2338" spans="1:9" ht="43.5" x14ac:dyDescent="0.35">
      <c r="A2338" s="195">
        <v>16</v>
      </c>
      <c r="B2338" s="195">
        <v>92</v>
      </c>
      <c r="C2338" s="195" t="s">
        <v>2874</v>
      </c>
      <c r="D2338" s="195">
        <v>730</v>
      </c>
      <c r="E2338" s="195" t="s">
        <v>373</v>
      </c>
      <c r="F2338" s="71" t="s">
        <v>508</v>
      </c>
      <c r="G2338" s="71" t="s">
        <v>371</v>
      </c>
      <c r="H2338" s="71" t="s">
        <v>2776</v>
      </c>
      <c r="I2338" s="71" t="s">
        <v>2782</v>
      </c>
    </row>
    <row r="2339" spans="1:9" ht="43.5" x14ac:dyDescent="0.35">
      <c r="A2339" s="195">
        <v>16</v>
      </c>
      <c r="B2339" s="195">
        <v>93</v>
      </c>
      <c r="C2339" s="195" t="s">
        <v>2875</v>
      </c>
      <c r="D2339" s="64">
        <v>81600</v>
      </c>
      <c r="E2339" s="195" t="s">
        <v>366</v>
      </c>
      <c r="F2339" s="71" t="s">
        <v>508</v>
      </c>
      <c r="G2339" s="71" t="s">
        <v>371</v>
      </c>
      <c r="H2339" s="71" t="s">
        <v>2784</v>
      </c>
      <c r="I2339" s="71" t="s">
        <v>2772</v>
      </c>
    </row>
    <row r="2340" spans="1:9" ht="43.5" x14ac:dyDescent="0.35">
      <c r="A2340" s="195">
        <v>16</v>
      </c>
      <c r="B2340" s="195">
        <v>94</v>
      </c>
      <c r="C2340" s="195" t="s">
        <v>2876</v>
      </c>
      <c r="D2340" s="64">
        <v>67845</v>
      </c>
      <c r="E2340" s="195" t="s">
        <v>373</v>
      </c>
      <c r="F2340" s="71" t="s">
        <v>508</v>
      </c>
      <c r="G2340" s="71" t="s">
        <v>371</v>
      </c>
      <c r="H2340" s="71" t="s">
        <v>2784</v>
      </c>
      <c r="I2340" s="71" t="s">
        <v>2778</v>
      </c>
    </row>
    <row r="2341" spans="1:9" ht="43.5" x14ac:dyDescent="0.35">
      <c r="A2341" s="195">
        <v>16</v>
      </c>
      <c r="B2341" s="195">
        <v>95</v>
      </c>
      <c r="C2341" s="195" t="s">
        <v>2877</v>
      </c>
      <c r="D2341" s="64">
        <v>5780</v>
      </c>
      <c r="E2341" s="195" t="s">
        <v>373</v>
      </c>
      <c r="F2341" s="71" t="s">
        <v>508</v>
      </c>
      <c r="G2341" s="71" t="s">
        <v>371</v>
      </c>
      <c r="H2341" s="71" t="s">
        <v>2784</v>
      </c>
      <c r="I2341" s="71" t="s">
        <v>2780</v>
      </c>
    </row>
    <row r="2342" spans="1:9" ht="43.5" x14ac:dyDescent="0.35">
      <c r="A2342" s="195">
        <v>16</v>
      </c>
      <c r="B2342" s="195">
        <v>96</v>
      </c>
      <c r="C2342" s="195" t="s">
        <v>2878</v>
      </c>
      <c r="D2342" s="64">
        <v>7975</v>
      </c>
      <c r="E2342" s="195" t="s">
        <v>373</v>
      </c>
      <c r="F2342" s="71" t="s">
        <v>508</v>
      </c>
      <c r="G2342" s="71" t="s">
        <v>371</v>
      </c>
      <c r="H2342" s="71" t="s">
        <v>2784</v>
      </c>
      <c r="I2342" s="71" t="s">
        <v>2782</v>
      </c>
    </row>
    <row r="2343" spans="1:9" ht="29" x14ac:dyDescent="0.35">
      <c r="A2343" s="195">
        <v>16</v>
      </c>
      <c r="B2343" s="195">
        <v>97</v>
      </c>
      <c r="C2343" s="195" t="s">
        <v>2879</v>
      </c>
      <c r="D2343" s="64">
        <v>25070</v>
      </c>
      <c r="E2343" s="195" t="s">
        <v>366</v>
      </c>
      <c r="F2343" s="71" t="s">
        <v>508</v>
      </c>
      <c r="G2343" s="71" t="s">
        <v>371</v>
      </c>
      <c r="H2343" s="71" t="s">
        <v>2789</v>
      </c>
      <c r="I2343" s="71" t="s">
        <v>2772</v>
      </c>
    </row>
    <row r="2344" spans="1:9" ht="29" x14ac:dyDescent="0.35">
      <c r="A2344" s="195">
        <v>16</v>
      </c>
      <c r="B2344" s="195">
        <v>98</v>
      </c>
      <c r="C2344" s="195" t="s">
        <v>2880</v>
      </c>
      <c r="D2344" s="64">
        <v>23285</v>
      </c>
      <c r="E2344" s="195" t="s">
        <v>373</v>
      </c>
      <c r="F2344" s="71" t="s">
        <v>508</v>
      </c>
      <c r="G2344" s="71" t="s">
        <v>371</v>
      </c>
      <c r="H2344" s="71" t="s">
        <v>2789</v>
      </c>
      <c r="I2344" s="71" t="s">
        <v>2778</v>
      </c>
    </row>
    <row r="2345" spans="1:9" ht="29" x14ac:dyDescent="0.35">
      <c r="A2345" s="195">
        <v>16</v>
      </c>
      <c r="B2345" s="195">
        <v>99</v>
      </c>
      <c r="C2345" s="195" t="s">
        <v>2881</v>
      </c>
      <c r="D2345" s="64">
        <v>1060</v>
      </c>
      <c r="E2345" s="195" t="s">
        <v>373</v>
      </c>
      <c r="F2345" s="71" t="s">
        <v>508</v>
      </c>
      <c r="G2345" s="71" t="s">
        <v>371</v>
      </c>
      <c r="H2345" s="71" t="s">
        <v>2789</v>
      </c>
      <c r="I2345" s="71" t="s">
        <v>2780</v>
      </c>
    </row>
    <row r="2346" spans="1:9" ht="43.5" x14ac:dyDescent="0.35">
      <c r="A2346" s="195">
        <v>16</v>
      </c>
      <c r="B2346" s="195">
        <v>100</v>
      </c>
      <c r="C2346" s="195" t="s">
        <v>2882</v>
      </c>
      <c r="D2346" s="195">
        <v>725</v>
      </c>
      <c r="E2346" s="195" t="s">
        <v>373</v>
      </c>
      <c r="F2346" s="71" t="s">
        <v>508</v>
      </c>
      <c r="G2346" s="71" t="s">
        <v>371</v>
      </c>
      <c r="H2346" s="71" t="s">
        <v>2789</v>
      </c>
      <c r="I2346" s="71" t="s">
        <v>2782</v>
      </c>
    </row>
    <row r="2347" spans="1:9" ht="58" x14ac:dyDescent="0.35">
      <c r="A2347" s="195">
        <v>16</v>
      </c>
      <c r="B2347" s="195">
        <v>101</v>
      </c>
      <c r="C2347" s="195" t="s">
        <v>2883</v>
      </c>
      <c r="D2347" s="64">
        <v>56660</v>
      </c>
      <c r="E2347" s="195" t="s">
        <v>366</v>
      </c>
      <c r="F2347" s="71" t="s">
        <v>508</v>
      </c>
      <c r="G2347" s="71" t="s">
        <v>371</v>
      </c>
      <c r="H2347" s="71" t="s">
        <v>2794</v>
      </c>
      <c r="I2347" s="71" t="s">
        <v>2772</v>
      </c>
    </row>
    <row r="2348" spans="1:9" ht="58" x14ac:dyDescent="0.35">
      <c r="A2348" s="195">
        <v>16</v>
      </c>
      <c r="B2348" s="195">
        <v>102</v>
      </c>
      <c r="C2348" s="195" t="s">
        <v>2884</v>
      </c>
      <c r="D2348" s="64">
        <v>40175</v>
      </c>
      <c r="E2348" s="195" t="s">
        <v>373</v>
      </c>
      <c r="F2348" s="71" t="s">
        <v>508</v>
      </c>
      <c r="G2348" s="71" t="s">
        <v>371</v>
      </c>
      <c r="H2348" s="71" t="s">
        <v>2794</v>
      </c>
      <c r="I2348" s="71" t="s">
        <v>2778</v>
      </c>
    </row>
    <row r="2349" spans="1:9" ht="58" x14ac:dyDescent="0.35">
      <c r="A2349" s="195">
        <v>16</v>
      </c>
      <c r="B2349" s="195">
        <v>103</v>
      </c>
      <c r="C2349" s="195" t="s">
        <v>2885</v>
      </c>
      <c r="D2349" s="64">
        <v>13725</v>
      </c>
      <c r="E2349" s="195" t="s">
        <v>373</v>
      </c>
      <c r="F2349" s="71" t="s">
        <v>508</v>
      </c>
      <c r="G2349" s="71" t="s">
        <v>371</v>
      </c>
      <c r="H2349" s="71" t="s">
        <v>2794</v>
      </c>
      <c r="I2349" s="71" t="s">
        <v>2780</v>
      </c>
    </row>
    <row r="2350" spans="1:9" ht="58" x14ac:dyDescent="0.35">
      <c r="A2350" s="195">
        <v>16</v>
      </c>
      <c r="B2350" s="195">
        <v>104</v>
      </c>
      <c r="C2350" s="195" t="s">
        <v>2886</v>
      </c>
      <c r="D2350" s="64">
        <v>2760</v>
      </c>
      <c r="E2350" s="195" t="s">
        <v>373</v>
      </c>
      <c r="F2350" s="71" t="s">
        <v>508</v>
      </c>
      <c r="G2350" s="71" t="s">
        <v>371</v>
      </c>
      <c r="H2350" s="71" t="s">
        <v>2794</v>
      </c>
      <c r="I2350" s="71" t="s">
        <v>2782</v>
      </c>
    </row>
    <row r="2351" spans="1:9" ht="29" x14ac:dyDescent="0.35">
      <c r="A2351" s="195">
        <v>16</v>
      </c>
      <c r="B2351" s="195">
        <v>105</v>
      </c>
      <c r="C2351" s="195" t="s">
        <v>2887</v>
      </c>
      <c r="D2351" s="64">
        <v>88665</v>
      </c>
      <c r="E2351" s="195" t="s">
        <v>366</v>
      </c>
      <c r="F2351" s="71" t="s">
        <v>508</v>
      </c>
      <c r="G2351" s="71" t="s">
        <v>371</v>
      </c>
      <c r="H2351" s="71" t="s">
        <v>2799</v>
      </c>
      <c r="I2351" s="71" t="s">
        <v>2772</v>
      </c>
    </row>
    <row r="2352" spans="1:9" ht="29" x14ac:dyDescent="0.35">
      <c r="A2352" s="195">
        <v>16</v>
      </c>
      <c r="B2352" s="195">
        <v>106</v>
      </c>
      <c r="C2352" s="195" t="s">
        <v>2888</v>
      </c>
      <c r="D2352" s="64">
        <v>64040</v>
      </c>
      <c r="E2352" s="195" t="s">
        <v>373</v>
      </c>
      <c r="F2352" s="71" t="s">
        <v>508</v>
      </c>
      <c r="G2352" s="71" t="s">
        <v>371</v>
      </c>
      <c r="H2352" s="71" t="s">
        <v>2799</v>
      </c>
      <c r="I2352" s="71" t="s">
        <v>2778</v>
      </c>
    </row>
    <row r="2353" spans="1:9" ht="29" x14ac:dyDescent="0.35">
      <c r="A2353" s="195">
        <v>16</v>
      </c>
      <c r="B2353" s="195">
        <v>107</v>
      </c>
      <c r="C2353" s="195" t="s">
        <v>2889</v>
      </c>
      <c r="D2353" s="64">
        <v>6945</v>
      </c>
      <c r="E2353" s="195" t="s">
        <v>373</v>
      </c>
      <c r="F2353" s="71" t="s">
        <v>508</v>
      </c>
      <c r="G2353" s="71" t="s">
        <v>371</v>
      </c>
      <c r="H2353" s="71" t="s">
        <v>2799</v>
      </c>
      <c r="I2353" s="71" t="s">
        <v>2780</v>
      </c>
    </row>
    <row r="2354" spans="1:9" ht="43.5" x14ac:dyDescent="0.35">
      <c r="A2354" s="195">
        <v>16</v>
      </c>
      <c r="B2354" s="195">
        <v>108</v>
      </c>
      <c r="C2354" s="195" t="s">
        <v>2890</v>
      </c>
      <c r="D2354" s="64">
        <v>17685</v>
      </c>
      <c r="E2354" s="195" t="s">
        <v>373</v>
      </c>
      <c r="F2354" s="71" t="s">
        <v>508</v>
      </c>
      <c r="G2354" s="71" t="s">
        <v>371</v>
      </c>
      <c r="H2354" s="71" t="s">
        <v>2799</v>
      </c>
      <c r="I2354" s="71" t="s">
        <v>2782</v>
      </c>
    </row>
    <row r="2355" spans="1:9" ht="43.5" x14ac:dyDescent="0.35">
      <c r="A2355" s="195">
        <v>16</v>
      </c>
      <c r="B2355" s="195">
        <v>109</v>
      </c>
      <c r="C2355" s="195" t="s">
        <v>2891</v>
      </c>
      <c r="D2355" s="64">
        <v>147875</v>
      </c>
      <c r="E2355" s="195" t="s">
        <v>366</v>
      </c>
      <c r="F2355" s="71" t="s">
        <v>508</v>
      </c>
      <c r="G2355" s="71" t="s">
        <v>388</v>
      </c>
      <c r="H2355" s="71" t="s">
        <v>982</v>
      </c>
      <c r="I2355" s="71" t="s">
        <v>2772</v>
      </c>
    </row>
    <row r="2356" spans="1:9" ht="43.5" x14ac:dyDescent="0.35">
      <c r="A2356" s="195">
        <v>16</v>
      </c>
      <c r="B2356" s="195">
        <v>110</v>
      </c>
      <c r="C2356" s="195" t="s">
        <v>2892</v>
      </c>
      <c r="D2356" s="64">
        <v>8185</v>
      </c>
      <c r="E2356" s="195" t="s">
        <v>366</v>
      </c>
      <c r="F2356" s="71" t="s">
        <v>508</v>
      </c>
      <c r="G2356" s="71" t="s">
        <v>2805</v>
      </c>
      <c r="H2356" s="71" t="s">
        <v>2776</v>
      </c>
      <c r="I2356" s="71" t="s">
        <v>2772</v>
      </c>
    </row>
    <row r="2357" spans="1:9" ht="43.5" x14ac:dyDescent="0.35">
      <c r="A2357" s="195">
        <v>16</v>
      </c>
      <c r="B2357" s="195">
        <v>111</v>
      </c>
      <c r="C2357" s="195" t="s">
        <v>2893</v>
      </c>
      <c r="D2357" s="64">
        <v>6375</v>
      </c>
      <c r="E2357" s="195" t="s">
        <v>373</v>
      </c>
      <c r="F2357" s="71" t="s">
        <v>508</v>
      </c>
      <c r="G2357" s="71" t="s">
        <v>2805</v>
      </c>
      <c r="H2357" s="71" t="s">
        <v>2776</v>
      </c>
      <c r="I2357" s="71" t="s">
        <v>2778</v>
      </c>
    </row>
    <row r="2358" spans="1:9" ht="43.5" x14ac:dyDescent="0.35">
      <c r="A2358" s="195">
        <v>16</v>
      </c>
      <c r="B2358" s="195">
        <v>112</v>
      </c>
      <c r="C2358" s="195" t="s">
        <v>2894</v>
      </c>
      <c r="D2358" s="64">
        <v>1810</v>
      </c>
      <c r="E2358" s="195" t="s">
        <v>373</v>
      </c>
      <c r="F2358" s="71" t="s">
        <v>508</v>
      </c>
      <c r="G2358" s="71" t="s">
        <v>2805</v>
      </c>
      <c r="H2358" s="71" t="s">
        <v>2776</v>
      </c>
      <c r="I2358" s="71" t="s">
        <v>2780</v>
      </c>
    </row>
    <row r="2359" spans="1:9" ht="43.5" x14ac:dyDescent="0.35">
      <c r="A2359" s="195">
        <v>16</v>
      </c>
      <c r="B2359" s="195">
        <v>113</v>
      </c>
      <c r="C2359" s="195" t="s">
        <v>2895</v>
      </c>
      <c r="D2359" s="195">
        <v>0</v>
      </c>
      <c r="E2359" s="195" t="s">
        <v>373</v>
      </c>
      <c r="F2359" s="71" t="s">
        <v>508</v>
      </c>
      <c r="G2359" s="71" t="s">
        <v>2805</v>
      </c>
      <c r="H2359" s="71" t="s">
        <v>2776</v>
      </c>
      <c r="I2359" s="71" t="s">
        <v>2782</v>
      </c>
    </row>
    <row r="2360" spans="1:9" ht="43.5" x14ac:dyDescent="0.35">
      <c r="A2360" s="195">
        <v>16</v>
      </c>
      <c r="B2360" s="195">
        <v>114</v>
      </c>
      <c r="C2360" s="195" t="s">
        <v>2896</v>
      </c>
      <c r="D2360" s="64">
        <v>56870</v>
      </c>
      <c r="E2360" s="195" t="s">
        <v>366</v>
      </c>
      <c r="F2360" s="71" t="s">
        <v>508</v>
      </c>
      <c r="G2360" s="71" t="s">
        <v>388</v>
      </c>
      <c r="H2360" s="71" t="s">
        <v>2784</v>
      </c>
      <c r="I2360" s="71" t="s">
        <v>2772</v>
      </c>
    </row>
    <row r="2361" spans="1:9" ht="43.5" x14ac:dyDescent="0.35">
      <c r="A2361" s="195">
        <v>16</v>
      </c>
      <c r="B2361" s="195">
        <v>115</v>
      </c>
      <c r="C2361" s="195" t="s">
        <v>2897</v>
      </c>
      <c r="D2361" s="64">
        <v>44425</v>
      </c>
      <c r="E2361" s="195" t="s">
        <v>373</v>
      </c>
      <c r="F2361" s="71" t="s">
        <v>508</v>
      </c>
      <c r="G2361" s="71" t="s">
        <v>388</v>
      </c>
      <c r="H2361" s="71" t="s">
        <v>2784</v>
      </c>
      <c r="I2361" s="71" t="s">
        <v>2778</v>
      </c>
    </row>
    <row r="2362" spans="1:9" ht="43.5" x14ac:dyDescent="0.35">
      <c r="A2362" s="195">
        <v>16</v>
      </c>
      <c r="B2362" s="195">
        <v>116</v>
      </c>
      <c r="C2362" s="195" t="s">
        <v>2898</v>
      </c>
      <c r="D2362" s="64">
        <v>12445</v>
      </c>
      <c r="E2362" s="195" t="s">
        <v>373</v>
      </c>
      <c r="F2362" s="71" t="s">
        <v>508</v>
      </c>
      <c r="G2362" s="71" t="s">
        <v>388</v>
      </c>
      <c r="H2362" s="71" t="s">
        <v>2784</v>
      </c>
      <c r="I2362" s="71" t="s">
        <v>2780</v>
      </c>
    </row>
    <row r="2363" spans="1:9" ht="43.5" x14ac:dyDescent="0.35">
      <c r="A2363" s="195">
        <v>16</v>
      </c>
      <c r="B2363" s="195">
        <v>117</v>
      </c>
      <c r="C2363" s="195" t="s">
        <v>2899</v>
      </c>
      <c r="D2363" s="195">
        <v>0</v>
      </c>
      <c r="E2363" s="195" t="s">
        <v>373</v>
      </c>
      <c r="F2363" s="71" t="s">
        <v>508</v>
      </c>
      <c r="G2363" s="71" t="s">
        <v>388</v>
      </c>
      <c r="H2363" s="71" t="s">
        <v>2784</v>
      </c>
      <c r="I2363" s="71" t="s">
        <v>2782</v>
      </c>
    </row>
    <row r="2364" spans="1:9" ht="43.5" x14ac:dyDescent="0.35">
      <c r="A2364" s="195">
        <v>16</v>
      </c>
      <c r="B2364" s="195">
        <v>118</v>
      </c>
      <c r="C2364" s="195" t="s">
        <v>2900</v>
      </c>
      <c r="D2364" s="64">
        <v>17660</v>
      </c>
      <c r="E2364" s="195" t="s">
        <v>366</v>
      </c>
      <c r="F2364" s="71" t="s">
        <v>508</v>
      </c>
      <c r="G2364" s="71" t="s">
        <v>388</v>
      </c>
      <c r="H2364" s="71" t="s">
        <v>2789</v>
      </c>
      <c r="I2364" s="71" t="s">
        <v>2772</v>
      </c>
    </row>
    <row r="2365" spans="1:9" ht="43.5" x14ac:dyDescent="0.35">
      <c r="A2365" s="195">
        <v>16</v>
      </c>
      <c r="B2365" s="195">
        <v>119</v>
      </c>
      <c r="C2365" s="195" t="s">
        <v>2901</v>
      </c>
      <c r="D2365" s="64">
        <v>14730</v>
      </c>
      <c r="E2365" s="195" t="s">
        <v>373</v>
      </c>
      <c r="F2365" s="71" t="s">
        <v>508</v>
      </c>
      <c r="G2365" s="71" t="s">
        <v>388</v>
      </c>
      <c r="H2365" s="71" t="s">
        <v>2789</v>
      </c>
      <c r="I2365" s="71" t="s">
        <v>2778</v>
      </c>
    </row>
    <row r="2366" spans="1:9" ht="43.5" x14ac:dyDescent="0.35">
      <c r="A2366" s="195">
        <v>16</v>
      </c>
      <c r="B2366" s="195">
        <v>120</v>
      </c>
      <c r="C2366" s="195" t="s">
        <v>2902</v>
      </c>
      <c r="D2366" s="64">
        <v>2930</v>
      </c>
      <c r="E2366" s="195" t="s">
        <v>373</v>
      </c>
      <c r="F2366" s="71" t="s">
        <v>508</v>
      </c>
      <c r="G2366" s="71" t="s">
        <v>388</v>
      </c>
      <c r="H2366" s="71" t="s">
        <v>2789</v>
      </c>
      <c r="I2366" s="71" t="s">
        <v>2780</v>
      </c>
    </row>
    <row r="2367" spans="1:9" ht="43.5" x14ac:dyDescent="0.35">
      <c r="A2367" s="195">
        <v>16</v>
      </c>
      <c r="B2367" s="195">
        <v>121</v>
      </c>
      <c r="C2367" s="195" t="s">
        <v>2903</v>
      </c>
      <c r="D2367" s="195">
        <v>0</v>
      </c>
      <c r="E2367" s="195" t="s">
        <v>373</v>
      </c>
      <c r="F2367" s="71" t="s">
        <v>508</v>
      </c>
      <c r="G2367" s="71" t="s">
        <v>388</v>
      </c>
      <c r="H2367" s="71" t="s">
        <v>2789</v>
      </c>
      <c r="I2367" s="71" t="s">
        <v>2782</v>
      </c>
    </row>
    <row r="2368" spans="1:9" ht="58" x14ac:dyDescent="0.35">
      <c r="A2368" s="195">
        <v>16</v>
      </c>
      <c r="B2368" s="195">
        <v>122</v>
      </c>
      <c r="C2368" s="195" t="s">
        <v>2904</v>
      </c>
      <c r="D2368" s="64">
        <v>21365</v>
      </c>
      <c r="E2368" s="195" t="s">
        <v>366</v>
      </c>
      <c r="F2368" s="71" t="s">
        <v>508</v>
      </c>
      <c r="G2368" s="71" t="s">
        <v>388</v>
      </c>
      <c r="H2368" s="71" t="s">
        <v>2794</v>
      </c>
      <c r="I2368" s="71" t="s">
        <v>2772</v>
      </c>
    </row>
    <row r="2369" spans="1:9" ht="58" x14ac:dyDescent="0.35">
      <c r="A2369" s="195">
        <v>16</v>
      </c>
      <c r="B2369" s="195">
        <v>123</v>
      </c>
      <c r="C2369" s="195" t="s">
        <v>2905</v>
      </c>
      <c r="D2369" s="64">
        <v>15490</v>
      </c>
      <c r="E2369" s="195" t="s">
        <v>373</v>
      </c>
      <c r="F2369" s="71" t="s">
        <v>508</v>
      </c>
      <c r="G2369" s="71" t="s">
        <v>388</v>
      </c>
      <c r="H2369" s="71" t="s">
        <v>2794</v>
      </c>
      <c r="I2369" s="71" t="s">
        <v>2778</v>
      </c>
    </row>
    <row r="2370" spans="1:9" ht="58" x14ac:dyDescent="0.35">
      <c r="A2370" s="195">
        <v>16</v>
      </c>
      <c r="B2370" s="195">
        <v>124</v>
      </c>
      <c r="C2370" s="195" t="s">
        <v>2906</v>
      </c>
      <c r="D2370" s="64">
        <v>5870</v>
      </c>
      <c r="E2370" s="195" t="s">
        <v>373</v>
      </c>
      <c r="F2370" s="71" t="s">
        <v>508</v>
      </c>
      <c r="G2370" s="71" t="s">
        <v>388</v>
      </c>
      <c r="H2370" s="71" t="s">
        <v>2794</v>
      </c>
      <c r="I2370" s="71" t="s">
        <v>2780</v>
      </c>
    </row>
    <row r="2371" spans="1:9" ht="58" x14ac:dyDescent="0.35">
      <c r="A2371" s="195">
        <v>16</v>
      </c>
      <c r="B2371" s="195">
        <v>125</v>
      </c>
      <c r="C2371" s="195" t="s">
        <v>2907</v>
      </c>
      <c r="D2371" s="195">
        <v>0</v>
      </c>
      <c r="E2371" s="195" t="s">
        <v>373</v>
      </c>
      <c r="F2371" s="71" t="s">
        <v>508</v>
      </c>
      <c r="G2371" s="71" t="s">
        <v>388</v>
      </c>
      <c r="H2371" s="71" t="s">
        <v>2794</v>
      </c>
      <c r="I2371" s="71" t="s">
        <v>2782</v>
      </c>
    </row>
    <row r="2372" spans="1:9" ht="43.5" x14ac:dyDescent="0.35">
      <c r="A2372" s="195">
        <v>16</v>
      </c>
      <c r="B2372" s="195">
        <v>126</v>
      </c>
      <c r="C2372" s="195" t="s">
        <v>2908</v>
      </c>
      <c r="D2372" s="64">
        <v>43795</v>
      </c>
      <c r="E2372" s="195" t="s">
        <v>366</v>
      </c>
      <c r="F2372" s="71" t="s">
        <v>508</v>
      </c>
      <c r="G2372" s="71" t="s">
        <v>388</v>
      </c>
      <c r="H2372" s="71" t="s">
        <v>2799</v>
      </c>
      <c r="I2372" s="71" t="s">
        <v>2772</v>
      </c>
    </row>
    <row r="2373" spans="1:9" ht="43.5" x14ac:dyDescent="0.35">
      <c r="A2373" s="195">
        <v>16</v>
      </c>
      <c r="B2373" s="195">
        <v>127</v>
      </c>
      <c r="C2373" s="195" t="s">
        <v>2909</v>
      </c>
      <c r="D2373" s="64">
        <v>38045</v>
      </c>
      <c r="E2373" s="195" t="s">
        <v>373</v>
      </c>
      <c r="F2373" s="71" t="s">
        <v>508</v>
      </c>
      <c r="G2373" s="71" t="s">
        <v>388</v>
      </c>
      <c r="H2373" s="71" t="s">
        <v>2799</v>
      </c>
      <c r="I2373" s="71" t="s">
        <v>2778</v>
      </c>
    </row>
    <row r="2374" spans="1:9" ht="43.5" x14ac:dyDescent="0.35">
      <c r="A2374" s="195">
        <v>16</v>
      </c>
      <c r="B2374" s="195">
        <v>128</v>
      </c>
      <c r="C2374" s="195" t="s">
        <v>2910</v>
      </c>
      <c r="D2374" s="64">
        <v>5750</v>
      </c>
      <c r="E2374" s="195" t="s">
        <v>373</v>
      </c>
      <c r="F2374" s="71" t="s">
        <v>508</v>
      </c>
      <c r="G2374" s="71" t="s">
        <v>388</v>
      </c>
      <c r="H2374" s="71" t="s">
        <v>2799</v>
      </c>
      <c r="I2374" s="71" t="s">
        <v>2780</v>
      </c>
    </row>
    <row r="2375" spans="1:9" ht="43.5" x14ac:dyDescent="0.35">
      <c r="A2375" s="195">
        <v>16</v>
      </c>
      <c r="B2375" s="195">
        <v>129</v>
      </c>
      <c r="C2375" s="195" t="s">
        <v>2911</v>
      </c>
      <c r="D2375" s="195">
        <v>0</v>
      </c>
      <c r="E2375" s="195" t="s">
        <v>373</v>
      </c>
      <c r="F2375" s="71" t="s">
        <v>508</v>
      </c>
      <c r="G2375" s="71" t="s">
        <v>388</v>
      </c>
      <c r="H2375" s="71" t="s">
        <v>2799</v>
      </c>
      <c r="I2375" s="71" t="s">
        <v>2782</v>
      </c>
    </row>
    <row r="2376" spans="1:9" ht="43.5" x14ac:dyDescent="0.35">
      <c r="A2376" s="195">
        <v>16</v>
      </c>
      <c r="B2376" s="195">
        <v>130</v>
      </c>
      <c r="C2376" s="195" t="s">
        <v>2912</v>
      </c>
      <c r="D2376" s="64">
        <v>153425</v>
      </c>
      <c r="E2376" s="195" t="s">
        <v>366</v>
      </c>
      <c r="F2376" s="71" t="s">
        <v>508</v>
      </c>
      <c r="G2376" s="71" t="s">
        <v>397</v>
      </c>
      <c r="H2376" s="71" t="s">
        <v>982</v>
      </c>
      <c r="I2376" s="71" t="s">
        <v>2772</v>
      </c>
    </row>
    <row r="2377" spans="1:9" ht="43.5" x14ac:dyDescent="0.35">
      <c r="A2377" s="195">
        <v>16</v>
      </c>
      <c r="B2377" s="195">
        <v>131</v>
      </c>
      <c r="C2377" s="195" t="s">
        <v>2913</v>
      </c>
      <c r="D2377" s="64">
        <v>6670</v>
      </c>
      <c r="E2377" s="195" t="s">
        <v>366</v>
      </c>
      <c r="F2377" s="71" t="s">
        <v>508</v>
      </c>
      <c r="G2377" s="71" t="s">
        <v>2827</v>
      </c>
      <c r="H2377" s="71" t="s">
        <v>2776</v>
      </c>
      <c r="I2377" s="71" t="s">
        <v>2772</v>
      </c>
    </row>
    <row r="2378" spans="1:9" ht="43.5" x14ac:dyDescent="0.35">
      <c r="A2378" s="195">
        <v>16</v>
      </c>
      <c r="B2378" s="195">
        <v>132</v>
      </c>
      <c r="C2378" s="195" t="s">
        <v>2914</v>
      </c>
      <c r="D2378" s="64">
        <v>2310</v>
      </c>
      <c r="E2378" s="195" t="s">
        <v>373</v>
      </c>
      <c r="F2378" s="71" t="s">
        <v>508</v>
      </c>
      <c r="G2378" s="71" t="s">
        <v>2827</v>
      </c>
      <c r="H2378" s="71" t="s">
        <v>2776</v>
      </c>
      <c r="I2378" s="71" t="s">
        <v>2778</v>
      </c>
    </row>
    <row r="2379" spans="1:9" ht="43.5" x14ac:dyDescent="0.35">
      <c r="A2379" s="195">
        <v>16</v>
      </c>
      <c r="B2379" s="195">
        <v>133</v>
      </c>
      <c r="C2379" s="195" t="s">
        <v>2915</v>
      </c>
      <c r="D2379" s="64">
        <v>4360</v>
      </c>
      <c r="E2379" s="195" t="s">
        <v>373</v>
      </c>
      <c r="F2379" s="71" t="s">
        <v>508</v>
      </c>
      <c r="G2379" s="71" t="s">
        <v>2827</v>
      </c>
      <c r="H2379" s="71" t="s">
        <v>2776</v>
      </c>
      <c r="I2379" s="71" t="s">
        <v>2780</v>
      </c>
    </row>
    <row r="2380" spans="1:9" ht="43.5" x14ac:dyDescent="0.35">
      <c r="A2380" s="195">
        <v>16</v>
      </c>
      <c r="B2380" s="195">
        <v>134</v>
      </c>
      <c r="C2380" s="195" t="s">
        <v>2916</v>
      </c>
      <c r="D2380" s="195">
        <v>0</v>
      </c>
      <c r="E2380" s="195" t="s">
        <v>373</v>
      </c>
      <c r="F2380" s="71" t="s">
        <v>508</v>
      </c>
      <c r="G2380" s="71" t="s">
        <v>2827</v>
      </c>
      <c r="H2380" s="71" t="s">
        <v>2776</v>
      </c>
      <c r="I2380" s="71" t="s">
        <v>2782</v>
      </c>
    </row>
    <row r="2381" spans="1:9" ht="43.5" x14ac:dyDescent="0.35">
      <c r="A2381" s="195">
        <v>16</v>
      </c>
      <c r="B2381" s="195">
        <v>135</v>
      </c>
      <c r="C2381" s="195" t="s">
        <v>2917</v>
      </c>
      <c r="D2381" s="64">
        <v>58790</v>
      </c>
      <c r="E2381" s="195" t="s">
        <v>366</v>
      </c>
      <c r="F2381" s="71" t="s">
        <v>508</v>
      </c>
      <c r="G2381" s="71" t="s">
        <v>397</v>
      </c>
      <c r="H2381" s="71" t="s">
        <v>2784</v>
      </c>
      <c r="I2381" s="71" t="s">
        <v>2772</v>
      </c>
    </row>
    <row r="2382" spans="1:9" ht="43.5" x14ac:dyDescent="0.35">
      <c r="A2382" s="195">
        <v>16</v>
      </c>
      <c r="B2382" s="195">
        <v>136</v>
      </c>
      <c r="C2382" s="195" t="s">
        <v>2918</v>
      </c>
      <c r="D2382" s="64">
        <v>20095</v>
      </c>
      <c r="E2382" s="195" t="s">
        <v>373</v>
      </c>
      <c r="F2382" s="71" t="s">
        <v>508</v>
      </c>
      <c r="G2382" s="71" t="s">
        <v>397</v>
      </c>
      <c r="H2382" s="71" t="s">
        <v>2784</v>
      </c>
      <c r="I2382" s="71" t="s">
        <v>2778</v>
      </c>
    </row>
    <row r="2383" spans="1:9" ht="43.5" x14ac:dyDescent="0.35">
      <c r="A2383" s="195">
        <v>16</v>
      </c>
      <c r="B2383" s="195">
        <v>137</v>
      </c>
      <c r="C2383" s="195" t="s">
        <v>2919</v>
      </c>
      <c r="D2383" s="64">
        <v>38695</v>
      </c>
      <c r="E2383" s="195" t="s">
        <v>373</v>
      </c>
      <c r="F2383" s="71" t="s">
        <v>508</v>
      </c>
      <c r="G2383" s="71" t="s">
        <v>397</v>
      </c>
      <c r="H2383" s="71" t="s">
        <v>2784</v>
      </c>
      <c r="I2383" s="71" t="s">
        <v>2780</v>
      </c>
    </row>
    <row r="2384" spans="1:9" ht="43.5" x14ac:dyDescent="0.35">
      <c r="A2384" s="195">
        <v>16</v>
      </c>
      <c r="B2384" s="195">
        <v>138</v>
      </c>
      <c r="C2384" s="195" t="s">
        <v>2920</v>
      </c>
      <c r="D2384" s="195">
        <v>0</v>
      </c>
      <c r="E2384" s="195" t="s">
        <v>373</v>
      </c>
      <c r="F2384" s="71" t="s">
        <v>508</v>
      </c>
      <c r="G2384" s="71" t="s">
        <v>397</v>
      </c>
      <c r="H2384" s="71" t="s">
        <v>2784</v>
      </c>
      <c r="I2384" s="71" t="s">
        <v>2782</v>
      </c>
    </row>
    <row r="2385" spans="1:9" ht="43.5" x14ac:dyDescent="0.35">
      <c r="A2385" s="195">
        <v>16</v>
      </c>
      <c r="B2385" s="195">
        <v>139</v>
      </c>
      <c r="C2385" s="195" t="s">
        <v>2921</v>
      </c>
      <c r="D2385" s="64">
        <v>13945</v>
      </c>
      <c r="E2385" s="195" t="s">
        <v>366</v>
      </c>
      <c r="F2385" s="71" t="s">
        <v>508</v>
      </c>
      <c r="G2385" s="71" t="s">
        <v>397</v>
      </c>
      <c r="H2385" s="71" t="s">
        <v>2789</v>
      </c>
      <c r="I2385" s="71" t="s">
        <v>2772</v>
      </c>
    </row>
    <row r="2386" spans="1:9" ht="43.5" x14ac:dyDescent="0.35">
      <c r="A2386" s="195">
        <v>16</v>
      </c>
      <c r="B2386" s="195">
        <v>140</v>
      </c>
      <c r="C2386" s="195" t="s">
        <v>2922</v>
      </c>
      <c r="D2386" s="64">
        <v>7560</v>
      </c>
      <c r="E2386" s="195" t="s">
        <v>373</v>
      </c>
      <c r="F2386" s="71" t="s">
        <v>508</v>
      </c>
      <c r="G2386" s="71" t="s">
        <v>397</v>
      </c>
      <c r="H2386" s="71" t="s">
        <v>2789</v>
      </c>
      <c r="I2386" s="71" t="s">
        <v>2778</v>
      </c>
    </row>
    <row r="2387" spans="1:9" ht="43.5" x14ac:dyDescent="0.35">
      <c r="A2387" s="195">
        <v>16</v>
      </c>
      <c r="B2387" s="195">
        <v>141</v>
      </c>
      <c r="C2387" s="195" t="s">
        <v>2923</v>
      </c>
      <c r="D2387" s="64">
        <v>6385</v>
      </c>
      <c r="E2387" s="195" t="s">
        <v>373</v>
      </c>
      <c r="F2387" s="71" t="s">
        <v>508</v>
      </c>
      <c r="G2387" s="71" t="s">
        <v>397</v>
      </c>
      <c r="H2387" s="71" t="s">
        <v>2789</v>
      </c>
      <c r="I2387" s="71" t="s">
        <v>2780</v>
      </c>
    </row>
    <row r="2388" spans="1:9" ht="43.5" x14ac:dyDescent="0.35">
      <c r="A2388" s="195">
        <v>16</v>
      </c>
      <c r="B2388" s="195">
        <v>142</v>
      </c>
      <c r="C2388" s="195" t="s">
        <v>2924</v>
      </c>
      <c r="D2388" s="195">
        <v>0</v>
      </c>
      <c r="E2388" s="195" t="s">
        <v>373</v>
      </c>
      <c r="F2388" s="71" t="s">
        <v>508</v>
      </c>
      <c r="G2388" s="71" t="s">
        <v>397</v>
      </c>
      <c r="H2388" s="71" t="s">
        <v>2789</v>
      </c>
      <c r="I2388" s="71" t="s">
        <v>2782</v>
      </c>
    </row>
    <row r="2389" spans="1:9" ht="58" x14ac:dyDescent="0.35">
      <c r="A2389" s="195">
        <v>16</v>
      </c>
      <c r="B2389" s="195">
        <v>143</v>
      </c>
      <c r="C2389" s="195" t="s">
        <v>2925</v>
      </c>
      <c r="D2389" s="64">
        <v>12475</v>
      </c>
      <c r="E2389" s="195" t="s">
        <v>366</v>
      </c>
      <c r="F2389" s="71" t="s">
        <v>508</v>
      </c>
      <c r="G2389" s="71" t="s">
        <v>397</v>
      </c>
      <c r="H2389" s="71" t="s">
        <v>2794</v>
      </c>
      <c r="I2389" s="71" t="s">
        <v>2772</v>
      </c>
    </row>
    <row r="2390" spans="1:9" ht="58" x14ac:dyDescent="0.35">
      <c r="A2390" s="195">
        <v>16</v>
      </c>
      <c r="B2390" s="195">
        <v>144</v>
      </c>
      <c r="C2390" s="195" t="s">
        <v>2926</v>
      </c>
      <c r="D2390" s="64">
        <v>5690</v>
      </c>
      <c r="E2390" s="195" t="s">
        <v>373</v>
      </c>
      <c r="F2390" s="71" t="s">
        <v>508</v>
      </c>
      <c r="G2390" s="71" t="s">
        <v>397</v>
      </c>
      <c r="H2390" s="71" t="s">
        <v>2794</v>
      </c>
      <c r="I2390" s="71" t="s">
        <v>2778</v>
      </c>
    </row>
    <row r="2391" spans="1:9" ht="58" x14ac:dyDescent="0.35">
      <c r="A2391" s="195">
        <v>16</v>
      </c>
      <c r="B2391" s="195">
        <v>145</v>
      </c>
      <c r="C2391" s="195" t="s">
        <v>2927</v>
      </c>
      <c r="D2391" s="64">
        <v>6785</v>
      </c>
      <c r="E2391" s="195" t="s">
        <v>373</v>
      </c>
      <c r="F2391" s="71" t="s">
        <v>508</v>
      </c>
      <c r="G2391" s="71" t="s">
        <v>397</v>
      </c>
      <c r="H2391" s="71" t="s">
        <v>2794</v>
      </c>
      <c r="I2391" s="71" t="s">
        <v>2780</v>
      </c>
    </row>
    <row r="2392" spans="1:9" ht="58" x14ac:dyDescent="0.35">
      <c r="A2392" s="195">
        <v>16</v>
      </c>
      <c r="B2392" s="195">
        <v>146</v>
      </c>
      <c r="C2392" s="195" t="s">
        <v>2928</v>
      </c>
      <c r="D2392" s="195">
        <v>0</v>
      </c>
      <c r="E2392" s="195" t="s">
        <v>373</v>
      </c>
      <c r="F2392" s="71" t="s">
        <v>508</v>
      </c>
      <c r="G2392" s="71" t="s">
        <v>397</v>
      </c>
      <c r="H2392" s="71" t="s">
        <v>2794</v>
      </c>
      <c r="I2392" s="71" t="s">
        <v>2782</v>
      </c>
    </row>
    <row r="2393" spans="1:9" ht="43.5" x14ac:dyDescent="0.35">
      <c r="A2393" s="195">
        <v>16</v>
      </c>
      <c r="B2393" s="195">
        <v>147</v>
      </c>
      <c r="C2393" s="195" t="s">
        <v>2929</v>
      </c>
      <c r="D2393" s="64">
        <v>61545</v>
      </c>
      <c r="E2393" s="195" t="s">
        <v>366</v>
      </c>
      <c r="F2393" s="71" t="s">
        <v>508</v>
      </c>
      <c r="G2393" s="71" t="s">
        <v>397</v>
      </c>
      <c r="H2393" s="71" t="s">
        <v>2799</v>
      </c>
      <c r="I2393" s="71" t="s">
        <v>2772</v>
      </c>
    </row>
    <row r="2394" spans="1:9" ht="43.5" x14ac:dyDescent="0.35">
      <c r="A2394" s="195">
        <v>16</v>
      </c>
      <c r="B2394" s="195">
        <v>148</v>
      </c>
      <c r="C2394" s="195" t="s">
        <v>2930</v>
      </c>
      <c r="D2394" s="64">
        <v>27930</v>
      </c>
      <c r="E2394" s="195" t="s">
        <v>373</v>
      </c>
      <c r="F2394" s="71" t="s">
        <v>508</v>
      </c>
      <c r="G2394" s="71" t="s">
        <v>397</v>
      </c>
      <c r="H2394" s="71" t="s">
        <v>2799</v>
      </c>
      <c r="I2394" s="71" t="s">
        <v>2778</v>
      </c>
    </row>
    <row r="2395" spans="1:9" ht="43.5" x14ac:dyDescent="0.35">
      <c r="A2395" s="195">
        <v>16</v>
      </c>
      <c r="B2395" s="195">
        <v>149</v>
      </c>
      <c r="C2395" s="195" t="s">
        <v>2931</v>
      </c>
      <c r="D2395" s="64">
        <v>33615</v>
      </c>
      <c r="E2395" s="195" t="s">
        <v>373</v>
      </c>
      <c r="F2395" s="71" t="s">
        <v>508</v>
      </c>
      <c r="G2395" s="71" t="s">
        <v>397</v>
      </c>
      <c r="H2395" s="71" t="s">
        <v>2799</v>
      </c>
      <c r="I2395" s="71" t="s">
        <v>2780</v>
      </c>
    </row>
    <row r="2396" spans="1:9" ht="43.5" x14ac:dyDescent="0.35">
      <c r="A2396" s="195">
        <v>16</v>
      </c>
      <c r="B2396" s="195">
        <v>150</v>
      </c>
      <c r="C2396" s="195" t="s">
        <v>2932</v>
      </c>
      <c r="D2396" s="195">
        <v>0</v>
      </c>
      <c r="E2396" s="195" t="s">
        <v>373</v>
      </c>
      <c r="F2396" s="71" t="s">
        <v>508</v>
      </c>
      <c r="G2396" s="71" t="s">
        <v>397</v>
      </c>
      <c r="H2396" s="71" t="s">
        <v>2799</v>
      </c>
      <c r="I2396" s="71" t="s">
        <v>2782</v>
      </c>
    </row>
    <row r="2397" spans="1:9" ht="29" x14ac:dyDescent="0.35">
      <c r="A2397" s="195">
        <v>16</v>
      </c>
      <c r="B2397" s="195">
        <v>151</v>
      </c>
      <c r="C2397" s="195" t="s">
        <v>2933</v>
      </c>
      <c r="D2397" s="64">
        <v>281930</v>
      </c>
      <c r="E2397" s="195" t="s">
        <v>366</v>
      </c>
      <c r="F2397" s="71" t="s">
        <v>508</v>
      </c>
      <c r="G2397" s="71" t="s">
        <v>2848</v>
      </c>
      <c r="H2397" s="71" t="s">
        <v>982</v>
      </c>
      <c r="I2397" s="71" t="s">
        <v>2772</v>
      </c>
    </row>
    <row r="2398" spans="1:9" ht="43.5" x14ac:dyDescent="0.35">
      <c r="A2398" s="195">
        <v>16</v>
      </c>
      <c r="B2398" s="195">
        <v>152</v>
      </c>
      <c r="C2398" s="195" t="s">
        <v>2934</v>
      </c>
      <c r="D2398" s="64">
        <v>9045</v>
      </c>
      <c r="E2398" s="195" t="s">
        <v>366</v>
      </c>
      <c r="F2398" s="71" t="s">
        <v>508</v>
      </c>
      <c r="G2398" s="71" t="s">
        <v>2848</v>
      </c>
      <c r="H2398" s="71" t="s">
        <v>2776</v>
      </c>
      <c r="I2398" s="71" t="s">
        <v>2772</v>
      </c>
    </row>
    <row r="2399" spans="1:9" ht="43.5" x14ac:dyDescent="0.35">
      <c r="A2399" s="195">
        <v>16</v>
      </c>
      <c r="B2399" s="195">
        <v>153</v>
      </c>
      <c r="C2399" s="195" t="s">
        <v>2935</v>
      </c>
      <c r="D2399" s="64">
        <v>1165</v>
      </c>
      <c r="E2399" s="195" t="s">
        <v>373</v>
      </c>
      <c r="F2399" s="71" t="s">
        <v>508</v>
      </c>
      <c r="G2399" s="71" t="s">
        <v>2848</v>
      </c>
      <c r="H2399" s="71" t="s">
        <v>2776</v>
      </c>
      <c r="I2399" s="71" t="s">
        <v>2778</v>
      </c>
    </row>
    <row r="2400" spans="1:9" ht="43.5" x14ac:dyDescent="0.35">
      <c r="A2400" s="195">
        <v>16</v>
      </c>
      <c r="B2400" s="195">
        <v>154</v>
      </c>
      <c r="C2400" s="195" t="s">
        <v>2936</v>
      </c>
      <c r="D2400" s="64">
        <v>7880</v>
      </c>
      <c r="E2400" s="195" t="s">
        <v>373</v>
      </c>
      <c r="F2400" s="71" t="s">
        <v>508</v>
      </c>
      <c r="G2400" s="71" t="s">
        <v>2848</v>
      </c>
      <c r="H2400" s="71" t="s">
        <v>2776</v>
      </c>
      <c r="I2400" s="71" t="s">
        <v>2780</v>
      </c>
    </row>
    <row r="2401" spans="1:9" ht="43.5" x14ac:dyDescent="0.35">
      <c r="A2401" s="195">
        <v>16</v>
      </c>
      <c r="B2401" s="195">
        <v>155</v>
      </c>
      <c r="C2401" s="195" t="s">
        <v>2937</v>
      </c>
      <c r="D2401" s="195">
        <v>0</v>
      </c>
      <c r="E2401" s="195" t="s">
        <v>373</v>
      </c>
      <c r="F2401" s="71" t="s">
        <v>508</v>
      </c>
      <c r="G2401" s="71" t="s">
        <v>2848</v>
      </c>
      <c r="H2401" s="71" t="s">
        <v>2776</v>
      </c>
      <c r="I2401" s="71" t="s">
        <v>2782</v>
      </c>
    </row>
    <row r="2402" spans="1:9" ht="43.5" x14ac:dyDescent="0.35">
      <c r="A2402" s="195">
        <v>16</v>
      </c>
      <c r="B2402" s="195">
        <v>156</v>
      </c>
      <c r="C2402" s="195" t="s">
        <v>2938</v>
      </c>
      <c r="D2402" s="64">
        <v>107500</v>
      </c>
      <c r="E2402" s="195" t="s">
        <v>366</v>
      </c>
      <c r="F2402" s="71" t="s">
        <v>508</v>
      </c>
      <c r="G2402" s="71" t="s">
        <v>2848</v>
      </c>
      <c r="H2402" s="71" t="s">
        <v>2784</v>
      </c>
      <c r="I2402" s="71" t="s">
        <v>2772</v>
      </c>
    </row>
    <row r="2403" spans="1:9" ht="43.5" x14ac:dyDescent="0.35">
      <c r="A2403" s="195">
        <v>16</v>
      </c>
      <c r="B2403" s="195">
        <v>157</v>
      </c>
      <c r="C2403" s="195" t="s">
        <v>2939</v>
      </c>
      <c r="D2403" s="64">
        <v>8980</v>
      </c>
      <c r="E2403" s="195" t="s">
        <v>373</v>
      </c>
      <c r="F2403" s="71" t="s">
        <v>508</v>
      </c>
      <c r="G2403" s="71" t="s">
        <v>2848</v>
      </c>
      <c r="H2403" s="71" t="s">
        <v>2784</v>
      </c>
      <c r="I2403" s="71" t="s">
        <v>2778</v>
      </c>
    </row>
    <row r="2404" spans="1:9" ht="43.5" x14ac:dyDescent="0.35">
      <c r="A2404" s="195">
        <v>16</v>
      </c>
      <c r="B2404" s="195">
        <v>158</v>
      </c>
      <c r="C2404" s="195" t="s">
        <v>2940</v>
      </c>
      <c r="D2404" s="64">
        <v>98520</v>
      </c>
      <c r="E2404" s="195" t="s">
        <v>373</v>
      </c>
      <c r="F2404" s="71" t="s">
        <v>508</v>
      </c>
      <c r="G2404" s="71" t="s">
        <v>2848</v>
      </c>
      <c r="H2404" s="71" t="s">
        <v>2784</v>
      </c>
      <c r="I2404" s="71" t="s">
        <v>2780</v>
      </c>
    </row>
    <row r="2405" spans="1:9" ht="43.5" x14ac:dyDescent="0.35">
      <c r="A2405" s="195">
        <v>16</v>
      </c>
      <c r="B2405" s="195">
        <v>159</v>
      </c>
      <c r="C2405" s="195" t="s">
        <v>2941</v>
      </c>
      <c r="D2405" s="195">
        <v>0</v>
      </c>
      <c r="E2405" s="195" t="s">
        <v>373</v>
      </c>
      <c r="F2405" s="71" t="s">
        <v>508</v>
      </c>
      <c r="G2405" s="71" t="s">
        <v>2848</v>
      </c>
      <c r="H2405" s="71" t="s">
        <v>2784</v>
      </c>
      <c r="I2405" s="71" t="s">
        <v>2782</v>
      </c>
    </row>
    <row r="2406" spans="1:9" ht="29" x14ac:dyDescent="0.35">
      <c r="A2406" s="195">
        <v>16</v>
      </c>
      <c r="B2406" s="195">
        <v>160</v>
      </c>
      <c r="C2406" s="195" t="s">
        <v>2942</v>
      </c>
      <c r="D2406" s="64">
        <v>12460</v>
      </c>
      <c r="E2406" s="195" t="s">
        <v>366</v>
      </c>
      <c r="F2406" s="71" t="s">
        <v>508</v>
      </c>
      <c r="G2406" s="71" t="s">
        <v>2848</v>
      </c>
      <c r="H2406" s="71" t="s">
        <v>2789</v>
      </c>
      <c r="I2406" s="71" t="s">
        <v>2772</v>
      </c>
    </row>
    <row r="2407" spans="1:9" ht="29" x14ac:dyDescent="0.35">
      <c r="A2407" s="195">
        <v>16</v>
      </c>
      <c r="B2407" s="195">
        <v>161</v>
      </c>
      <c r="C2407" s="195" t="s">
        <v>2943</v>
      </c>
      <c r="D2407" s="64">
        <v>4065</v>
      </c>
      <c r="E2407" s="195" t="s">
        <v>373</v>
      </c>
      <c r="F2407" s="71" t="s">
        <v>508</v>
      </c>
      <c r="G2407" s="71" t="s">
        <v>2848</v>
      </c>
      <c r="H2407" s="71" t="s">
        <v>2789</v>
      </c>
      <c r="I2407" s="71" t="s">
        <v>2778</v>
      </c>
    </row>
    <row r="2408" spans="1:9" ht="29" x14ac:dyDescent="0.35">
      <c r="A2408" s="195">
        <v>16</v>
      </c>
      <c r="B2408" s="195">
        <v>162</v>
      </c>
      <c r="C2408" s="195" t="s">
        <v>2944</v>
      </c>
      <c r="D2408" s="64">
        <v>8400</v>
      </c>
      <c r="E2408" s="195" t="s">
        <v>373</v>
      </c>
      <c r="F2408" s="71" t="s">
        <v>508</v>
      </c>
      <c r="G2408" s="71" t="s">
        <v>2848</v>
      </c>
      <c r="H2408" s="71" t="s">
        <v>2789</v>
      </c>
      <c r="I2408" s="71" t="s">
        <v>2780</v>
      </c>
    </row>
    <row r="2409" spans="1:9" ht="43.5" x14ac:dyDescent="0.35">
      <c r="A2409" s="195">
        <v>16</v>
      </c>
      <c r="B2409" s="195">
        <v>163</v>
      </c>
      <c r="C2409" s="195" t="s">
        <v>2945</v>
      </c>
      <c r="D2409" s="195">
        <v>0</v>
      </c>
      <c r="E2409" s="195" t="s">
        <v>373</v>
      </c>
      <c r="F2409" s="71" t="s">
        <v>508</v>
      </c>
      <c r="G2409" s="71" t="s">
        <v>2848</v>
      </c>
      <c r="H2409" s="71" t="s">
        <v>2789</v>
      </c>
      <c r="I2409" s="71" t="s">
        <v>2782</v>
      </c>
    </row>
    <row r="2410" spans="1:9" ht="58" x14ac:dyDescent="0.35">
      <c r="A2410" s="195">
        <v>16</v>
      </c>
      <c r="B2410" s="195">
        <v>164</v>
      </c>
      <c r="C2410" s="195" t="s">
        <v>2946</v>
      </c>
      <c r="D2410" s="64">
        <v>12240</v>
      </c>
      <c r="E2410" s="195" t="s">
        <v>366</v>
      </c>
      <c r="F2410" s="71" t="s">
        <v>508</v>
      </c>
      <c r="G2410" s="71" t="s">
        <v>2848</v>
      </c>
      <c r="H2410" s="71" t="s">
        <v>2794</v>
      </c>
      <c r="I2410" s="71" t="s">
        <v>2772</v>
      </c>
    </row>
    <row r="2411" spans="1:9" ht="58" x14ac:dyDescent="0.35">
      <c r="A2411" s="195">
        <v>16</v>
      </c>
      <c r="B2411" s="195">
        <v>165</v>
      </c>
      <c r="C2411" s="195" t="s">
        <v>2947</v>
      </c>
      <c r="D2411" s="64">
        <v>2545</v>
      </c>
      <c r="E2411" s="195" t="s">
        <v>373</v>
      </c>
      <c r="F2411" s="71" t="s">
        <v>508</v>
      </c>
      <c r="G2411" s="71" t="s">
        <v>2848</v>
      </c>
      <c r="H2411" s="71" t="s">
        <v>2794</v>
      </c>
      <c r="I2411" s="71" t="s">
        <v>2778</v>
      </c>
    </row>
    <row r="2412" spans="1:9" ht="58" x14ac:dyDescent="0.35">
      <c r="A2412" s="195">
        <v>16</v>
      </c>
      <c r="B2412" s="195">
        <v>166</v>
      </c>
      <c r="C2412" s="195" t="s">
        <v>2948</v>
      </c>
      <c r="D2412" s="64">
        <v>9695</v>
      </c>
      <c r="E2412" s="195" t="s">
        <v>373</v>
      </c>
      <c r="F2412" s="71" t="s">
        <v>508</v>
      </c>
      <c r="G2412" s="71" t="s">
        <v>2848</v>
      </c>
      <c r="H2412" s="71" t="s">
        <v>2794</v>
      </c>
      <c r="I2412" s="71" t="s">
        <v>2780</v>
      </c>
    </row>
    <row r="2413" spans="1:9" ht="58" x14ac:dyDescent="0.35">
      <c r="A2413" s="195">
        <v>16</v>
      </c>
      <c r="B2413" s="195">
        <v>167</v>
      </c>
      <c r="C2413" s="195" t="s">
        <v>2949</v>
      </c>
      <c r="D2413" s="195">
        <v>0</v>
      </c>
      <c r="E2413" s="195" t="s">
        <v>373</v>
      </c>
      <c r="F2413" s="71" t="s">
        <v>508</v>
      </c>
      <c r="G2413" s="71" t="s">
        <v>2848</v>
      </c>
      <c r="H2413" s="71" t="s">
        <v>2794</v>
      </c>
      <c r="I2413" s="71" t="s">
        <v>2782</v>
      </c>
    </row>
    <row r="2414" spans="1:9" ht="29" x14ac:dyDescent="0.35">
      <c r="A2414" s="195">
        <v>16</v>
      </c>
      <c r="B2414" s="195">
        <v>168</v>
      </c>
      <c r="C2414" s="195" t="s">
        <v>2950</v>
      </c>
      <c r="D2414" s="64">
        <v>140685</v>
      </c>
      <c r="E2414" s="195" t="s">
        <v>366</v>
      </c>
      <c r="F2414" s="71" t="s">
        <v>508</v>
      </c>
      <c r="G2414" s="71" t="s">
        <v>2848</v>
      </c>
      <c r="H2414" s="71" t="s">
        <v>2799</v>
      </c>
      <c r="I2414" s="71" t="s">
        <v>2772</v>
      </c>
    </row>
    <row r="2415" spans="1:9" ht="29" x14ac:dyDescent="0.35">
      <c r="A2415" s="195">
        <v>16</v>
      </c>
      <c r="B2415" s="195">
        <v>169</v>
      </c>
      <c r="C2415" s="195" t="s">
        <v>2951</v>
      </c>
      <c r="D2415" s="64">
        <v>16200</v>
      </c>
      <c r="E2415" s="195" t="s">
        <v>373</v>
      </c>
      <c r="F2415" s="71" t="s">
        <v>508</v>
      </c>
      <c r="G2415" s="71" t="s">
        <v>2848</v>
      </c>
      <c r="H2415" s="71" t="s">
        <v>2799</v>
      </c>
      <c r="I2415" s="71" t="s">
        <v>2778</v>
      </c>
    </row>
    <row r="2416" spans="1:9" ht="29" x14ac:dyDescent="0.35">
      <c r="A2416" s="195">
        <v>16</v>
      </c>
      <c r="B2416" s="195">
        <v>170</v>
      </c>
      <c r="C2416" s="195" t="s">
        <v>2952</v>
      </c>
      <c r="D2416" s="64">
        <v>124485</v>
      </c>
      <c r="E2416" s="195" t="s">
        <v>373</v>
      </c>
      <c r="F2416" s="71" t="s">
        <v>508</v>
      </c>
      <c r="G2416" s="71" t="s">
        <v>2848</v>
      </c>
      <c r="H2416" s="71" t="s">
        <v>2799</v>
      </c>
      <c r="I2416" s="71" t="s">
        <v>2780</v>
      </c>
    </row>
    <row r="2417" spans="1:9" ht="43.5" x14ac:dyDescent="0.35">
      <c r="A2417" s="195">
        <v>16</v>
      </c>
      <c r="B2417" s="195">
        <v>171</v>
      </c>
      <c r="C2417" s="195" t="s">
        <v>2953</v>
      </c>
      <c r="D2417" s="195">
        <v>0</v>
      </c>
      <c r="E2417" s="195" t="s">
        <v>373</v>
      </c>
      <c r="F2417" s="71" t="s">
        <v>508</v>
      </c>
      <c r="G2417" s="71" t="s">
        <v>2848</v>
      </c>
      <c r="H2417" s="71" t="s">
        <v>2799</v>
      </c>
      <c r="I2417" s="71" t="s">
        <v>2782</v>
      </c>
    </row>
    <row r="2418" spans="1:9" ht="29" x14ac:dyDescent="0.35">
      <c r="A2418" s="195">
        <v>17</v>
      </c>
      <c r="B2418" s="195">
        <v>1</v>
      </c>
      <c r="C2418" s="195" t="s">
        <v>2955</v>
      </c>
      <c r="D2418" s="64">
        <v>26105</v>
      </c>
      <c r="E2418" s="195" t="s">
        <v>26</v>
      </c>
      <c r="F2418" s="71" t="s">
        <v>2441</v>
      </c>
      <c r="G2418" s="71" t="s">
        <v>2956</v>
      </c>
    </row>
    <row r="2419" spans="1:9" ht="29" x14ac:dyDescent="0.35">
      <c r="A2419" s="195">
        <v>17</v>
      </c>
      <c r="B2419" s="195">
        <v>1</v>
      </c>
      <c r="C2419" s="195" t="s">
        <v>2954</v>
      </c>
      <c r="D2419" s="64">
        <v>54685</v>
      </c>
      <c r="E2419" s="195" t="s">
        <v>26</v>
      </c>
      <c r="F2419" s="71" t="s">
        <v>2445</v>
      </c>
      <c r="G2419" s="71" t="s">
        <v>2446</v>
      </c>
    </row>
    <row r="2420" spans="1:9" x14ac:dyDescent="0.35">
      <c r="A2420" s="195">
        <v>17</v>
      </c>
      <c r="B2420" s="195">
        <v>2</v>
      </c>
      <c r="C2420" s="195" t="s">
        <v>2959</v>
      </c>
      <c r="D2420" s="64">
        <v>13780</v>
      </c>
      <c r="E2420" s="195" t="s">
        <v>366</v>
      </c>
      <c r="F2420" s="71" t="s">
        <v>2958</v>
      </c>
      <c r="G2420" s="71" t="s">
        <v>2956</v>
      </c>
    </row>
    <row r="2421" spans="1:9" x14ac:dyDescent="0.35">
      <c r="A2421" s="195">
        <v>17</v>
      </c>
      <c r="B2421" s="195">
        <v>2</v>
      </c>
      <c r="C2421" s="195" t="s">
        <v>2957</v>
      </c>
      <c r="D2421" s="64">
        <v>5480</v>
      </c>
      <c r="E2421" s="195" t="s">
        <v>366</v>
      </c>
      <c r="F2421" s="71" t="s">
        <v>2958</v>
      </c>
      <c r="G2421" s="71" t="s">
        <v>2446</v>
      </c>
    </row>
    <row r="2422" spans="1:9" ht="29" x14ac:dyDescent="0.35">
      <c r="A2422" s="195">
        <v>17</v>
      </c>
      <c r="B2422" s="195">
        <v>3</v>
      </c>
      <c r="C2422" s="195" t="s">
        <v>2962</v>
      </c>
      <c r="D2422" s="64">
        <v>5750</v>
      </c>
      <c r="E2422" s="195" t="s">
        <v>373</v>
      </c>
      <c r="F2422" s="71" t="s">
        <v>2958</v>
      </c>
      <c r="G2422" s="71" t="s">
        <v>2963</v>
      </c>
    </row>
    <row r="2423" spans="1:9" ht="29" x14ac:dyDescent="0.35">
      <c r="A2423" s="195">
        <v>17</v>
      </c>
      <c r="B2423" s="195">
        <v>3</v>
      </c>
      <c r="C2423" s="195" t="s">
        <v>2960</v>
      </c>
      <c r="D2423" s="64">
        <v>1150</v>
      </c>
      <c r="E2423" s="195" t="s">
        <v>373</v>
      </c>
      <c r="F2423" s="71" t="s">
        <v>2958</v>
      </c>
      <c r="G2423" s="71" t="s">
        <v>2961</v>
      </c>
    </row>
    <row r="2424" spans="1:9" ht="43.5" x14ac:dyDescent="0.35">
      <c r="A2424" s="195">
        <v>17</v>
      </c>
      <c r="B2424" s="195">
        <v>4</v>
      </c>
      <c r="C2424" s="195" t="s">
        <v>2966</v>
      </c>
      <c r="D2424" s="64">
        <v>3625</v>
      </c>
      <c r="E2424" s="195" t="s">
        <v>373</v>
      </c>
      <c r="F2424" s="71" t="s">
        <v>2958</v>
      </c>
      <c r="G2424" s="71" t="s">
        <v>2967</v>
      </c>
    </row>
    <row r="2425" spans="1:9" ht="29" x14ac:dyDescent="0.35">
      <c r="A2425" s="195">
        <v>17</v>
      </c>
      <c r="B2425" s="195">
        <v>4</v>
      </c>
      <c r="C2425" s="195" t="s">
        <v>2964</v>
      </c>
      <c r="D2425" s="64">
        <v>2150</v>
      </c>
      <c r="E2425" s="195" t="s">
        <v>373</v>
      </c>
      <c r="F2425" s="71" t="s">
        <v>2958</v>
      </c>
      <c r="G2425" s="71" t="s">
        <v>2965</v>
      </c>
    </row>
    <row r="2426" spans="1:9" ht="43.5" x14ac:dyDescent="0.35">
      <c r="A2426" s="195">
        <v>17</v>
      </c>
      <c r="B2426" s="195">
        <v>5</v>
      </c>
      <c r="C2426" s="195" t="s">
        <v>2970</v>
      </c>
      <c r="D2426" s="64">
        <v>1310</v>
      </c>
      <c r="E2426" s="195" t="s">
        <v>373</v>
      </c>
      <c r="F2426" s="71" t="s">
        <v>2958</v>
      </c>
      <c r="G2426" s="71" t="s">
        <v>2971</v>
      </c>
    </row>
    <row r="2427" spans="1:9" ht="29" x14ac:dyDescent="0.35">
      <c r="A2427" s="195">
        <v>17</v>
      </c>
      <c r="B2427" s="195">
        <v>5</v>
      </c>
      <c r="C2427" s="195" t="s">
        <v>2968</v>
      </c>
      <c r="D2427" s="64">
        <v>1545</v>
      </c>
      <c r="E2427" s="195" t="s">
        <v>373</v>
      </c>
      <c r="F2427" s="71" t="s">
        <v>2958</v>
      </c>
      <c r="G2427" s="71" t="s">
        <v>2969</v>
      </c>
    </row>
    <row r="2428" spans="1:9" ht="29" x14ac:dyDescent="0.35">
      <c r="A2428" s="195">
        <v>17</v>
      </c>
      <c r="B2428" s="195">
        <v>6</v>
      </c>
      <c r="C2428" s="195" t="s">
        <v>2972</v>
      </c>
      <c r="D2428" s="64">
        <v>3095</v>
      </c>
      <c r="E2428" s="195" t="s">
        <v>373</v>
      </c>
      <c r="F2428" s="71" t="s">
        <v>2958</v>
      </c>
      <c r="G2428" s="71" t="s">
        <v>2973</v>
      </c>
    </row>
    <row r="2429" spans="1:9" x14ac:dyDescent="0.35">
      <c r="A2429" s="195">
        <v>17</v>
      </c>
      <c r="B2429" s="195">
        <v>6</v>
      </c>
      <c r="C2429" s="195" t="s">
        <v>2974</v>
      </c>
      <c r="D2429" s="195">
        <v>630</v>
      </c>
      <c r="E2429" s="195" t="s">
        <v>373</v>
      </c>
      <c r="F2429" s="71" t="s">
        <v>2958</v>
      </c>
      <c r="G2429" s="71" t="s">
        <v>2975</v>
      </c>
    </row>
    <row r="2430" spans="1:9" x14ac:dyDescent="0.35">
      <c r="A2430" s="195">
        <v>17</v>
      </c>
      <c r="B2430" s="195">
        <v>7</v>
      </c>
      <c r="C2430" s="195" t="s">
        <v>2976</v>
      </c>
      <c r="D2430" s="64">
        <v>6120</v>
      </c>
      <c r="E2430" s="195" t="s">
        <v>366</v>
      </c>
      <c r="F2430" s="71" t="s">
        <v>2977</v>
      </c>
      <c r="G2430" s="71" t="s">
        <v>2956</v>
      </c>
    </row>
    <row r="2431" spans="1:9" x14ac:dyDescent="0.35">
      <c r="A2431" s="195">
        <v>17</v>
      </c>
      <c r="B2431" s="195">
        <v>7</v>
      </c>
      <c r="C2431" s="195" t="s">
        <v>2978</v>
      </c>
      <c r="D2431" s="64">
        <v>17460</v>
      </c>
      <c r="E2431" s="195" t="s">
        <v>366</v>
      </c>
      <c r="F2431" s="71" t="s">
        <v>2977</v>
      </c>
      <c r="G2431" s="71" t="s">
        <v>2446</v>
      </c>
    </row>
    <row r="2432" spans="1:9" ht="29" x14ac:dyDescent="0.35">
      <c r="A2432" s="195">
        <v>17</v>
      </c>
      <c r="B2432" s="195">
        <v>8</v>
      </c>
      <c r="C2432" s="195" t="s">
        <v>2980</v>
      </c>
      <c r="D2432" s="64">
        <v>3430</v>
      </c>
      <c r="E2432" s="195" t="s">
        <v>373</v>
      </c>
      <c r="F2432" s="71" t="s">
        <v>2977</v>
      </c>
      <c r="G2432" s="71" t="s">
        <v>2963</v>
      </c>
    </row>
    <row r="2433" spans="1:7" ht="29" x14ac:dyDescent="0.35">
      <c r="A2433" s="195">
        <v>17</v>
      </c>
      <c r="B2433" s="195">
        <v>8</v>
      </c>
      <c r="C2433" s="195" t="s">
        <v>2979</v>
      </c>
      <c r="D2433" s="64">
        <v>2695</v>
      </c>
      <c r="E2433" s="195" t="s">
        <v>373</v>
      </c>
      <c r="F2433" s="71" t="s">
        <v>2977</v>
      </c>
      <c r="G2433" s="71" t="s">
        <v>2961</v>
      </c>
    </row>
    <row r="2434" spans="1:7" ht="43.5" x14ac:dyDescent="0.35">
      <c r="A2434" s="195">
        <v>17</v>
      </c>
      <c r="B2434" s="195">
        <v>9</v>
      </c>
      <c r="C2434" s="195" t="s">
        <v>2981</v>
      </c>
      <c r="D2434" s="64">
        <v>1315</v>
      </c>
      <c r="E2434" s="195" t="s">
        <v>373</v>
      </c>
      <c r="F2434" s="71" t="s">
        <v>2977</v>
      </c>
      <c r="G2434" s="71" t="s">
        <v>2967</v>
      </c>
    </row>
    <row r="2435" spans="1:7" ht="29" x14ac:dyDescent="0.35">
      <c r="A2435" s="195">
        <v>17</v>
      </c>
      <c r="B2435" s="195">
        <v>9</v>
      </c>
      <c r="C2435" s="195" t="s">
        <v>2982</v>
      </c>
      <c r="D2435" s="64">
        <v>9380</v>
      </c>
      <c r="E2435" s="195" t="s">
        <v>373</v>
      </c>
      <c r="F2435" s="71" t="s">
        <v>2977</v>
      </c>
      <c r="G2435" s="71" t="s">
        <v>2965</v>
      </c>
    </row>
    <row r="2436" spans="1:7" ht="43.5" x14ac:dyDescent="0.35">
      <c r="A2436" s="195">
        <v>17</v>
      </c>
      <c r="B2436" s="195">
        <v>10</v>
      </c>
      <c r="C2436" s="195" t="s">
        <v>2983</v>
      </c>
      <c r="D2436" s="195">
        <v>535</v>
      </c>
      <c r="E2436" s="195" t="s">
        <v>373</v>
      </c>
      <c r="F2436" s="71" t="s">
        <v>2977</v>
      </c>
      <c r="G2436" s="71" t="s">
        <v>2971</v>
      </c>
    </row>
    <row r="2437" spans="1:7" ht="29" x14ac:dyDescent="0.35">
      <c r="A2437" s="195">
        <v>17</v>
      </c>
      <c r="B2437" s="195">
        <v>10</v>
      </c>
      <c r="C2437" s="195" t="s">
        <v>2984</v>
      </c>
      <c r="D2437" s="64">
        <v>4445</v>
      </c>
      <c r="E2437" s="195" t="s">
        <v>373</v>
      </c>
      <c r="F2437" s="71" t="s">
        <v>2977</v>
      </c>
      <c r="G2437" s="71" t="s">
        <v>2969</v>
      </c>
    </row>
    <row r="2438" spans="1:7" ht="29" x14ac:dyDescent="0.35">
      <c r="A2438" s="195">
        <v>17</v>
      </c>
      <c r="B2438" s="195">
        <v>11</v>
      </c>
      <c r="C2438" s="195" t="s">
        <v>2985</v>
      </c>
      <c r="D2438" s="195">
        <v>840</v>
      </c>
      <c r="E2438" s="195" t="s">
        <v>373</v>
      </c>
      <c r="F2438" s="71" t="s">
        <v>2977</v>
      </c>
      <c r="G2438" s="71" t="s">
        <v>2973</v>
      </c>
    </row>
    <row r="2439" spans="1:7" x14ac:dyDescent="0.35">
      <c r="A2439" s="195">
        <v>17</v>
      </c>
      <c r="B2439" s="195">
        <v>11</v>
      </c>
      <c r="C2439" s="195" t="s">
        <v>2986</v>
      </c>
      <c r="D2439" s="195">
        <v>935</v>
      </c>
      <c r="E2439" s="195" t="s">
        <v>373</v>
      </c>
      <c r="F2439" s="71" t="s">
        <v>2977</v>
      </c>
      <c r="G2439" s="71" t="s">
        <v>2975</v>
      </c>
    </row>
    <row r="2440" spans="1:7" x14ac:dyDescent="0.35">
      <c r="A2440" s="195">
        <v>17</v>
      </c>
      <c r="B2440" s="195">
        <v>12</v>
      </c>
      <c r="C2440" s="195" t="s">
        <v>2987</v>
      </c>
      <c r="D2440" s="64">
        <v>5780</v>
      </c>
      <c r="E2440" s="195" t="s">
        <v>366</v>
      </c>
      <c r="F2440" s="71" t="s">
        <v>2988</v>
      </c>
      <c r="G2440" s="71" t="s">
        <v>2956</v>
      </c>
    </row>
    <row r="2441" spans="1:7" x14ac:dyDescent="0.35">
      <c r="A2441" s="195">
        <v>17</v>
      </c>
      <c r="B2441" s="195">
        <v>12</v>
      </c>
      <c r="C2441" s="195" t="s">
        <v>2989</v>
      </c>
      <c r="D2441" s="64">
        <v>31540</v>
      </c>
      <c r="E2441" s="195" t="s">
        <v>366</v>
      </c>
      <c r="F2441" s="71" t="s">
        <v>2988</v>
      </c>
      <c r="G2441" s="71" t="s">
        <v>2446</v>
      </c>
    </row>
    <row r="2442" spans="1:7" ht="29" x14ac:dyDescent="0.35">
      <c r="A2442" s="195">
        <v>17</v>
      </c>
      <c r="B2442" s="195">
        <v>13</v>
      </c>
      <c r="C2442" s="195" t="s">
        <v>2990</v>
      </c>
      <c r="D2442" s="64">
        <v>1920</v>
      </c>
      <c r="E2442" s="195" t="s">
        <v>373</v>
      </c>
      <c r="F2442" s="71" t="s">
        <v>2988</v>
      </c>
      <c r="G2442" s="71" t="s">
        <v>2963</v>
      </c>
    </row>
    <row r="2443" spans="1:7" ht="29" x14ac:dyDescent="0.35">
      <c r="A2443" s="195">
        <v>17</v>
      </c>
      <c r="B2443" s="195">
        <v>13</v>
      </c>
      <c r="C2443" s="195" t="s">
        <v>2991</v>
      </c>
      <c r="D2443" s="64">
        <v>2385</v>
      </c>
      <c r="E2443" s="195" t="s">
        <v>373</v>
      </c>
      <c r="F2443" s="71" t="s">
        <v>2988</v>
      </c>
      <c r="G2443" s="71" t="s">
        <v>2961</v>
      </c>
    </row>
    <row r="2444" spans="1:7" ht="43.5" x14ac:dyDescent="0.35">
      <c r="A2444" s="195">
        <v>17</v>
      </c>
      <c r="B2444" s="195">
        <v>14</v>
      </c>
      <c r="C2444" s="195" t="s">
        <v>2993</v>
      </c>
      <c r="D2444" s="64">
        <v>1225</v>
      </c>
      <c r="E2444" s="195" t="s">
        <v>373</v>
      </c>
      <c r="F2444" s="71" t="s">
        <v>2988</v>
      </c>
      <c r="G2444" s="71" t="s">
        <v>2967</v>
      </c>
    </row>
    <row r="2445" spans="1:7" ht="29" x14ac:dyDescent="0.35">
      <c r="A2445" s="195">
        <v>17</v>
      </c>
      <c r="B2445" s="195">
        <v>14</v>
      </c>
      <c r="C2445" s="195" t="s">
        <v>2992</v>
      </c>
      <c r="D2445" s="64">
        <v>12435</v>
      </c>
      <c r="E2445" s="195" t="s">
        <v>373</v>
      </c>
      <c r="F2445" s="71" t="s">
        <v>2988</v>
      </c>
      <c r="G2445" s="71" t="s">
        <v>2965</v>
      </c>
    </row>
    <row r="2446" spans="1:7" ht="43.5" x14ac:dyDescent="0.35">
      <c r="A2446" s="195">
        <v>17</v>
      </c>
      <c r="B2446" s="195">
        <v>15</v>
      </c>
      <c r="C2446" s="195" t="s">
        <v>2995</v>
      </c>
      <c r="D2446" s="195">
        <v>615</v>
      </c>
      <c r="E2446" s="195" t="s">
        <v>373</v>
      </c>
      <c r="F2446" s="71" t="s">
        <v>2988</v>
      </c>
      <c r="G2446" s="71" t="s">
        <v>2971</v>
      </c>
    </row>
    <row r="2447" spans="1:7" ht="29" x14ac:dyDescent="0.35">
      <c r="A2447" s="195">
        <v>17</v>
      </c>
      <c r="B2447" s="195">
        <v>15</v>
      </c>
      <c r="C2447" s="195" t="s">
        <v>2994</v>
      </c>
      <c r="D2447" s="64">
        <v>10395</v>
      </c>
      <c r="E2447" s="195" t="s">
        <v>373</v>
      </c>
      <c r="F2447" s="71" t="s">
        <v>2988</v>
      </c>
      <c r="G2447" s="71" t="s">
        <v>2969</v>
      </c>
    </row>
    <row r="2448" spans="1:7" ht="29" x14ac:dyDescent="0.35">
      <c r="A2448" s="195">
        <v>17</v>
      </c>
      <c r="B2448" s="195">
        <v>16</v>
      </c>
      <c r="C2448" s="195" t="s">
        <v>2996</v>
      </c>
      <c r="D2448" s="64">
        <v>2020</v>
      </c>
      <c r="E2448" s="195" t="s">
        <v>373</v>
      </c>
      <c r="F2448" s="71" t="s">
        <v>2988</v>
      </c>
      <c r="G2448" s="71" t="s">
        <v>2973</v>
      </c>
    </row>
    <row r="2449" spans="1:9" x14ac:dyDescent="0.35">
      <c r="A2449" s="195">
        <v>17</v>
      </c>
      <c r="B2449" s="195">
        <v>16</v>
      </c>
      <c r="C2449" s="195" t="s">
        <v>2997</v>
      </c>
      <c r="D2449" s="64">
        <v>6325</v>
      </c>
      <c r="E2449" s="195" t="s">
        <v>373</v>
      </c>
      <c r="F2449" s="71" t="s">
        <v>2988</v>
      </c>
      <c r="G2449" s="71" t="s">
        <v>2975</v>
      </c>
    </row>
    <row r="2450" spans="1:9" ht="29" x14ac:dyDescent="0.35">
      <c r="A2450" s="195">
        <v>17</v>
      </c>
      <c r="B2450" s="195">
        <v>17</v>
      </c>
      <c r="C2450" s="195" t="s">
        <v>3000</v>
      </c>
      <c r="D2450" s="195">
        <v>425</v>
      </c>
      <c r="E2450" s="195" t="s">
        <v>366</v>
      </c>
      <c r="F2450" s="71" t="s">
        <v>2999</v>
      </c>
      <c r="G2450" s="71" t="s">
        <v>2956</v>
      </c>
    </row>
    <row r="2451" spans="1:9" ht="29" x14ac:dyDescent="0.35">
      <c r="A2451" s="195">
        <v>17</v>
      </c>
      <c r="B2451" s="195">
        <v>17</v>
      </c>
      <c r="C2451" s="195" t="s">
        <v>2998</v>
      </c>
      <c r="D2451" s="195">
        <v>205</v>
      </c>
      <c r="E2451" s="195" t="s">
        <v>366</v>
      </c>
      <c r="F2451" s="71" t="s">
        <v>2999</v>
      </c>
      <c r="G2451" s="71" t="s">
        <v>2446</v>
      </c>
    </row>
    <row r="2452" spans="1:9" ht="29" x14ac:dyDescent="0.35">
      <c r="A2452" s="195">
        <v>17</v>
      </c>
      <c r="B2452" s="195">
        <v>18</v>
      </c>
      <c r="C2452" s="195" t="s">
        <v>3002</v>
      </c>
      <c r="D2452" s="195">
        <v>375</v>
      </c>
      <c r="E2452" s="195" t="s">
        <v>373</v>
      </c>
      <c r="F2452" s="71" t="s">
        <v>2999</v>
      </c>
      <c r="G2452" s="71" t="s">
        <v>2963</v>
      </c>
    </row>
    <row r="2453" spans="1:9" ht="29" x14ac:dyDescent="0.35">
      <c r="A2453" s="195">
        <v>17</v>
      </c>
      <c r="B2453" s="195">
        <v>18</v>
      </c>
      <c r="C2453" s="195" t="s">
        <v>3001</v>
      </c>
      <c r="D2453" s="195">
        <v>20</v>
      </c>
      <c r="E2453" s="195" t="s">
        <v>373</v>
      </c>
      <c r="F2453" s="71" t="s">
        <v>2999</v>
      </c>
      <c r="G2453" s="71" t="s">
        <v>2961</v>
      </c>
    </row>
    <row r="2454" spans="1:9" ht="43.5" x14ac:dyDescent="0.35">
      <c r="A2454" s="195">
        <v>17</v>
      </c>
      <c r="B2454" s="195">
        <v>19</v>
      </c>
      <c r="C2454" s="195" t="s">
        <v>3003</v>
      </c>
      <c r="D2454" s="195">
        <v>0</v>
      </c>
      <c r="E2454" s="195" t="s">
        <v>373</v>
      </c>
      <c r="F2454" s="71" t="s">
        <v>2999</v>
      </c>
      <c r="G2454" s="71" t="s">
        <v>2967</v>
      </c>
    </row>
    <row r="2455" spans="1:9" ht="29" x14ac:dyDescent="0.35">
      <c r="A2455" s="195">
        <v>17</v>
      </c>
      <c r="B2455" s="195">
        <v>19</v>
      </c>
      <c r="C2455" s="195" t="s">
        <v>3004</v>
      </c>
      <c r="D2455" s="195">
        <v>150</v>
      </c>
      <c r="E2455" s="195" t="s">
        <v>373</v>
      </c>
      <c r="F2455" s="71" t="s">
        <v>2999</v>
      </c>
      <c r="G2455" s="71" t="s">
        <v>2965</v>
      </c>
    </row>
    <row r="2456" spans="1:9" ht="43.5" x14ac:dyDescent="0.35">
      <c r="A2456" s="195">
        <v>17</v>
      </c>
      <c r="B2456" s="195">
        <v>20</v>
      </c>
      <c r="C2456" s="195" t="s">
        <v>3005</v>
      </c>
      <c r="D2456" s="195">
        <v>0</v>
      </c>
      <c r="E2456" s="195" t="s">
        <v>373</v>
      </c>
      <c r="F2456" s="71" t="s">
        <v>2999</v>
      </c>
      <c r="G2456" s="71" t="s">
        <v>2971</v>
      </c>
    </row>
    <row r="2457" spans="1:9" ht="29" x14ac:dyDescent="0.35">
      <c r="A2457" s="195">
        <v>17</v>
      </c>
      <c r="B2457" s="195">
        <v>20</v>
      </c>
      <c r="C2457" s="195" t="s">
        <v>3006</v>
      </c>
      <c r="D2457" s="195">
        <v>15</v>
      </c>
      <c r="E2457" s="195" t="s">
        <v>373</v>
      </c>
      <c r="F2457" s="71" t="s">
        <v>2999</v>
      </c>
      <c r="G2457" s="71" t="s">
        <v>2969</v>
      </c>
    </row>
    <row r="2458" spans="1:9" ht="29" x14ac:dyDescent="0.35">
      <c r="A2458" s="195">
        <v>17</v>
      </c>
      <c r="B2458" s="195">
        <v>21</v>
      </c>
      <c r="C2458" s="195" t="s">
        <v>3008</v>
      </c>
      <c r="D2458" s="195">
        <v>50</v>
      </c>
      <c r="E2458" s="195" t="s">
        <v>373</v>
      </c>
      <c r="F2458" s="71" t="s">
        <v>2999</v>
      </c>
      <c r="G2458" s="71" t="s">
        <v>2973</v>
      </c>
    </row>
    <row r="2459" spans="1:9" ht="29" x14ac:dyDescent="0.35">
      <c r="A2459" s="195">
        <v>17</v>
      </c>
      <c r="B2459" s="195">
        <v>21</v>
      </c>
      <c r="C2459" s="195" t="s">
        <v>3007</v>
      </c>
      <c r="D2459" s="195">
        <v>15</v>
      </c>
      <c r="E2459" s="195" t="s">
        <v>373</v>
      </c>
      <c r="F2459" s="71" t="s">
        <v>2999</v>
      </c>
      <c r="G2459" s="71" t="s">
        <v>2975</v>
      </c>
    </row>
    <row r="2460" spans="1:9" ht="29" x14ac:dyDescent="0.35">
      <c r="A2460" s="195">
        <v>18</v>
      </c>
      <c r="B2460" s="195">
        <v>1</v>
      </c>
      <c r="C2460" s="195" t="s">
        <v>3012</v>
      </c>
      <c r="D2460" s="64">
        <v>745880</v>
      </c>
      <c r="E2460" s="195" t="s">
        <v>26</v>
      </c>
      <c r="F2460" s="71" t="s">
        <v>3013</v>
      </c>
      <c r="G2460" s="71" t="s">
        <v>3011</v>
      </c>
      <c r="H2460" s="71" t="s">
        <v>2502</v>
      </c>
      <c r="I2460" s="71" t="s">
        <v>2330</v>
      </c>
    </row>
    <row r="2461" spans="1:9" ht="29" x14ac:dyDescent="0.35">
      <c r="A2461" s="195">
        <v>18</v>
      </c>
      <c r="B2461" s="195">
        <v>1</v>
      </c>
      <c r="C2461" s="195" t="s">
        <v>3009</v>
      </c>
      <c r="D2461" s="64">
        <v>359285</v>
      </c>
      <c r="E2461" s="195" t="s">
        <v>26</v>
      </c>
      <c r="F2461" s="71" t="s">
        <v>3010</v>
      </c>
      <c r="G2461" s="71" t="s">
        <v>3011</v>
      </c>
      <c r="H2461" s="71" t="s">
        <v>2502</v>
      </c>
      <c r="I2461" s="71" t="s">
        <v>2330</v>
      </c>
    </row>
    <row r="2462" spans="1:9" x14ac:dyDescent="0.35">
      <c r="A2462" s="195">
        <v>18</v>
      </c>
      <c r="B2462" s="195">
        <v>1</v>
      </c>
      <c r="C2462" s="195" t="s">
        <v>3014</v>
      </c>
      <c r="D2462" s="64">
        <v>846440</v>
      </c>
      <c r="E2462" s="195" t="s">
        <v>26</v>
      </c>
      <c r="F2462" s="71" t="s">
        <v>3015</v>
      </c>
      <c r="G2462" s="71" t="s">
        <v>3011</v>
      </c>
      <c r="H2462" s="71" t="s">
        <v>2446</v>
      </c>
      <c r="I2462" s="71" t="s">
        <v>2330</v>
      </c>
    </row>
    <row r="2463" spans="1:9" ht="29" x14ac:dyDescent="0.35">
      <c r="A2463" s="195">
        <v>18</v>
      </c>
      <c r="B2463" s="195">
        <v>2</v>
      </c>
      <c r="C2463" s="195" t="s">
        <v>3019</v>
      </c>
      <c r="D2463" s="64">
        <v>546180</v>
      </c>
      <c r="E2463" s="195" t="s">
        <v>366</v>
      </c>
      <c r="F2463" s="71" t="s">
        <v>3020</v>
      </c>
      <c r="G2463" s="71" t="s">
        <v>3017</v>
      </c>
      <c r="H2463" s="71" t="s">
        <v>2502</v>
      </c>
      <c r="I2463" s="71" t="s">
        <v>363</v>
      </c>
    </row>
    <row r="2464" spans="1:9" ht="29" x14ac:dyDescent="0.35">
      <c r="A2464" s="195">
        <v>18</v>
      </c>
      <c r="B2464" s="195">
        <v>2</v>
      </c>
      <c r="C2464" s="195" t="s">
        <v>3016</v>
      </c>
      <c r="D2464" s="64">
        <v>256870</v>
      </c>
      <c r="E2464" s="195" t="s">
        <v>366</v>
      </c>
      <c r="F2464" s="71" t="s">
        <v>2510</v>
      </c>
      <c r="G2464" s="71" t="s">
        <v>3017</v>
      </c>
      <c r="H2464" s="71" t="s">
        <v>2502</v>
      </c>
      <c r="I2464" s="71" t="s">
        <v>363</v>
      </c>
    </row>
    <row r="2465" spans="1:9" ht="29" x14ac:dyDescent="0.35">
      <c r="A2465" s="195">
        <v>18</v>
      </c>
      <c r="B2465" s="195">
        <v>2</v>
      </c>
      <c r="C2465" s="195" t="s">
        <v>3018</v>
      </c>
      <c r="D2465" s="64">
        <v>124460</v>
      </c>
      <c r="E2465" s="195" t="s">
        <v>366</v>
      </c>
      <c r="F2465" s="71" t="s">
        <v>508</v>
      </c>
      <c r="G2465" s="71" t="s">
        <v>3017</v>
      </c>
      <c r="H2465" s="71" t="s">
        <v>2446</v>
      </c>
      <c r="I2465" s="71" t="s">
        <v>363</v>
      </c>
    </row>
    <row r="2466" spans="1:9" ht="29" x14ac:dyDescent="0.35">
      <c r="A2466" s="195">
        <v>18</v>
      </c>
      <c r="B2466" s="195">
        <v>3</v>
      </c>
      <c r="C2466" s="195" t="s">
        <v>3021</v>
      </c>
      <c r="D2466" s="64">
        <v>140270</v>
      </c>
      <c r="E2466" s="195" t="s">
        <v>366</v>
      </c>
      <c r="F2466" s="71" t="s">
        <v>3020</v>
      </c>
      <c r="G2466" s="71" t="s">
        <v>3017</v>
      </c>
      <c r="H2466" s="71" t="s">
        <v>3022</v>
      </c>
      <c r="I2466" s="71" t="s">
        <v>363</v>
      </c>
    </row>
    <row r="2467" spans="1:9" ht="29" x14ac:dyDescent="0.35">
      <c r="A2467" s="195">
        <v>18</v>
      </c>
      <c r="B2467" s="195">
        <v>3</v>
      </c>
      <c r="C2467" s="195" t="s">
        <v>3023</v>
      </c>
      <c r="D2467" s="64">
        <v>71180</v>
      </c>
      <c r="E2467" s="195" t="s">
        <v>366</v>
      </c>
      <c r="F2467" s="71" t="s">
        <v>2510</v>
      </c>
      <c r="G2467" s="71" t="s">
        <v>3017</v>
      </c>
      <c r="H2467" s="71" t="s">
        <v>3022</v>
      </c>
      <c r="I2467" s="71" t="s">
        <v>363</v>
      </c>
    </row>
    <row r="2468" spans="1:9" ht="29" x14ac:dyDescent="0.35">
      <c r="A2468" s="195">
        <v>18</v>
      </c>
      <c r="B2468" s="195">
        <v>3</v>
      </c>
      <c r="C2468" s="195" t="s">
        <v>3024</v>
      </c>
      <c r="D2468" s="64">
        <v>22220</v>
      </c>
      <c r="E2468" s="195" t="s">
        <v>366</v>
      </c>
      <c r="F2468" s="71" t="s">
        <v>508</v>
      </c>
      <c r="G2468" s="71" t="s">
        <v>3017</v>
      </c>
      <c r="H2468" s="71" t="s">
        <v>2456</v>
      </c>
      <c r="I2468" s="71" t="s">
        <v>363</v>
      </c>
    </row>
    <row r="2469" spans="1:9" ht="29" x14ac:dyDescent="0.35">
      <c r="A2469" s="195">
        <v>18</v>
      </c>
      <c r="B2469" s="195">
        <v>4</v>
      </c>
      <c r="C2469" s="195" t="s">
        <v>3025</v>
      </c>
      <c r="D2469" s="64">
        <v>16020</v>
      </c>
      <c r="E2469" s="195" t="s">
        <v>373</v>
      </c>
      <c r="F2469" s="71" t="s">
        <v>3020</v>
      </c>
      <c r="G2469" s="71" t="s">
        <v>3017</v>
      </c>
      <c r="H2469" s="71" t="s">
        <v>3022</v>
      </c>
      <c r="I2469" s="71" t="s">
        <v>371</v>
      </c>
    </row>
    <row r="2470" spans="1:9" ht="29" x14ac:dyDescent="0.35">
      <c r="A2470" s="195">
        <v>18</v>
      </c>
      <c r="B2470" s="195">
        <v>4</v>
      </c>
      <c r="C2470" s="195" t="s">
        <v>3026</v>
      </c>
      <c r="D2470" s="64">
        <v>14470</v>
      </c>
      <c r="E2470" s="195" t="s">
        <v>373</v>
      </c>
      <c r="F2470" s="71" t="s">
        <v>2510</v>
      </c>
      <c r="G2470" s="71" t="s">
        <v>3017</v>
      </c>
      <c r="H2470" s="71" t="s">
        <v>3022</v>
      </c>
      <c r="I2470" s="71" t="s">
        <v>371</v>
      </c>
    </row>
    <row r="2471" spans="1:9" ht="29" x14ac:dyDescent="0.35">
      <c r="A2471" s="195">
        <v>18</v>
      </c>
      <c r="B2471" s="195">
        <v>4</v>
      </c>
      <c r="C2471" s="195" t="s">
        <v>3027</v>
      </c>
      <c r="D2471" s="64">
        <v>11485</v>
      </c>
      <c r="E2471" s="195" t="s">
        <v>373</v>
      </c>
      <c r="F2471" s="71" t="s">
        <v>508</v>
      </c>
      <c r="G2471" s="71" t="s">
        <v>3017</v>
      </c>
      <c r="H2471" s="71" t="s">
        <v>2456</v>
      </c>
      <c r="I2471" s="71" t="s">
        <v>371</v>
      </c>
    </row>
    <row r="2472" spans="1:9" ht="43.5" x14ac:dyDescent="0.35">
      <c r="A2472" s="195">
        <v>18</v>
      </c>
      <c r="B2472" s="195">
        <v>5</v>
      </c>
      <c r="C2472" s="195" t="s">
        <v>3029</v>
      </c>
      <c r="D2472" s="64">
        <v>18865</v>
      </c>
      <c r="E2472" s="195" t="s">
        <v>373</v>
      </c>
      <c r="F2472" s="71" t="s">
        <v>3020</v>
      </c>
      <c r="G2472" s="71" t="s">
        <v>3017</v>
      </c>
      <c r="H2472" s="71" t="s">
        <v>3022</v>
      </c>
      <c r="I2472" s="71" t="s">
        <v>2805</v>
      </c>
    </row>
    <row r="2473" spans="1:9" ht="43.5" x14ac:dyDescent="0.35">
      <c r="A2473" s="195">
        <v>18</v>
      </c>
      <c r="B2473" s="195">
        <v>5</v>
      </c>
      <c r="C2473" s="195" t="s">
        <v>3030</v>
      </c>
      <c r="D2473" s="64">
        <v>14495</v>
      </c>
      <c r="E2473" s="195" t="s">
        <v>373</v>
      </c>
      <c r="F2473" s="71" t="s">
        <v>2510</v>
      </c>
      <c r="G2473" s="71" t="s">
        <v>3017</v>
      </c>
      <c r="H2473" s="71" t="s">
        <v>3022</v>
      </c>
      <c r="I2473" s="71" t="s">
        <v>2805</v>
      </c>
    </row>
    <row r="2474" spans="1:9" ht="43.5" x14ac:dyDescent="0.35">
      <c r="A2474" s="195">
        <v>18</v>
      </c>
      <c r="B2474" s="195">
        <v>5</v>
      </c>
      <c r="C2474" s="195" t="s">
        <v>3028</v>
      </c>
      <c r="D2474" s="64">
        <v>3495</v>
      </c>
      <c r="E2474" s="195" t="s">
        <v>373</v>
      </c>
      <c r="F2474" s="71" t="s">
        <v>508</v>
      </c>
      <c r="G2474" s="71" t="s">
        <v>3017</v>
      </c>
      <c r="H2474" s="71" t="s">
        <v>2456</v>
      </c>
      <c r="I2474" s="71" t="s">
        <v>2805</v>
      </c>
    </row>
    <row r="2475" spans="1:9" ht="43.5" x14ac:dyDescent="0.35">
      <c r="A2475" s="195">
        <v>18</v>
      </c>
      <c r="B2475" s="195">
        <v>6</v>
      </c>
      <c r="C2475" s="195" t="s">
        <v>3033</v>
      </c>
      <c r="D2475" s="64">
        <v>30875</v>
      </c>
      <c r="E2475" s="195" t="s">
        <v>373</v>
      </c>
      <c r="F2475" s="71" t="s">
        <v>3020</v>
      </c>
      <c r="G2475" s="71" t="s">
        <v>3017</v>
      </c>
      <c r="H2475" s="71" t="s">
        <v>3022</v>
      </c>
      <c r="I2475" s="71" t="s">
        <v>2827</v>
      </c>
    </row>
    <row r="2476" spans="1:9" ht="43.5" x14ac:dyDescent="0.35">
      <c r="A2476" s="195">
        <v>18</v>
      </c>
      <c r="B2476" s="195">
        <v>6</v>
      </c>
      <c r="C2476" s="195" t="s">
        <v>3032</v>
      </c>
      <c r="D2476" s="64">
        <v>15960</v>
      </c>
      <c r="E2476" s="195" t="s">
        <v>373</v>
      </c>
      <c r="F2476" s="71" t="s">
        <v>2510</v>
      </c>
      <c r="G2476" s="71" t="s">
        <v>3017</v>
      </c>
      <c r="H2476" s="71" t="s">
        <v>3022</v>
      </c>
      <c r="I2476" s="71" t="s">
        <v>2827</v>
      </c>
    </row>
    <row r="2477" spans="1:9" ht="43.5" x14ac:dyDescent="0.35">
      <c r="A2477" s="195">
        <v>18</v>
      </c>
      <c r="B2477" s="195">
        <v>6</v>
      </c>
      <c r="C2477" s="195" t="s">
        <v>3031</v>
      </c>
      <c r="D2477" s="64">
        <v>2695</v>
      </c>
      <c r="E2477" s="195" t="s">
        <v>373</v>
      </c>
      <c r="F2477" s="71" t="s">
        <v>508</v>
      </c>
      <c r="G2477" s="71" t="s">
        <v>3017</v>
      </c>
      <c r="H2477" s="71" t="s">
        <v>2456</v>
      </c>
      <c r="I2477" s="71" t="s">
        <v>2827</v>
      </c>
    </row>
    <row r="2478" spans="1:9" ht="43.5" x14ac:dyDescent="0.35">
      <c r="A2478" s="195">
        <v>18</v>
      </c>
      <c r="B2478" s="195">
        <v>7</v>
      </c>
      <c r="C2478" s="195" t="s">
        <v>3034</v>
      </c>
      <c r="D2478" s="64">
        <v>20910</v>
      </c>
      <c r="E2478" s="195" t="s">
        <v>373</v>
      </c>
      <c r="F2478" s="71" t="s">
        <v>3020</v>
      </c>
      <c r="G2478" s="71" t="s">
        <v>3017</v>
      </c>
      <c r="H2478" s="71" t="s">
        <v>3022</v>
      </c>
      <c r="I2478" s="71" t="s">
        <v>3035</v>
      </c>
    </row>
    <row r="2479" spans="1:9" ht="43.5" x14ac:dyDescent="0.35">
      <c r="A2479" s="195">
        <v>18</v>
      </c>
      <c r="B2479" s="195">
        <v>7</v>
      </c>
      <c r="C2479" s="195" t="s">
        <v>3037</v>
      </c>
      <c r="D2479" s="64">
        <v>8000</v>
      </c>
      <c r="E2479" s="195" t="s">
        <v>373</v>
      </c>
      <c r="F2479" s="71" t="s">
        <v>2510</v>
      </c>
      <c r="G2479" s="71" t="s">
        <v>3017</v>
      </c>
      <c r="H2479" s="71" t="s">
        <v>3022</v>
      </c>
      <c r="I2479" s="71" t="s">
        <v>3035</v>
      </c>
    </row>
    <row r="2480" spans="1:9" ht="43.5" x14ac:dyDescent="0.35">
      <c r="A2480" s="195">
        <v>18</v>
      </c>
      <c r="B2480" s="195">
        <v>7</v>
      </c>
      <c r="C2480" s="195" t="s">
        <v>3036</v>
      </c>
      <c r="D2480" s="64">
        <v>1330</v>
      </c>
      <c r="E2480" s="195" t="s">
        <v>373</v>
      </c>
      <c r="F2480" s="71" t="s">
        <v>508</v>
      </c>
      <c r="G2480" s="71" t="s">
        <v>3017</v>
      </c>
      <c r="H2480" s="71" t="s">
        <v>2456</v>
      </c>
      <c r="I2480" s="71" t="s">
        <v>3035</v>
      </c>
    </row>
    <row r="2481" spans="1:9" ht="29" x14ac:dyDescent="0.35">
      <c r="A2481" s="195">
        <v>18</v>
      </c>
      <c r="B2481" s="195">
        <v>8</v>
      </c>
      <c r="C2481" s="195" t="s">
        <v>3040</v>
      </c>
      <c r="D2481" s="64">
        <v>53600</v>
      </c>
      <c r="E2481" s="195" t="s">
        <v>373</v>
      </c>
      <c r="F2481" s="71" t="s">
        <v>3020</v>
      </c>
      <c r="G2481" s="71" t="s">
        <v>3017</v>
      </c>
      <c r="H2481" s="71" t="s">
        <v>3022</v>
      </c>
      <c r="I2481" s="71" t="s">
        <v>415</v>
      </c>
    </row>
    <row r="2482" spans="1:9" ht="29" x14ac:dyDescent="0.35">
      <c r="A2482" s="195">
        <v>18</v>
      </c>
      <c r="B2482" s="195">
        <v>8</v>
      </c>
      <c r="C2482" s="195" t="s">
        <v>3038</v>
      </c>
      <c r="D2482" s="64">
        <v>18255</v>
      </c>
      <c r="E2482" s="195" t="s">
        <v>373</v>
      </c>
      <c r="F2482" s="71" t="s">
        <v>2510</v>
      </c>
      <c r="G2482" s="71" t="s">
        <v>3017</v>
      </c>
      <c r="H2482" s="71" t="s">
        <v>3022</v>
      </c>
      <c r="I2482" s="71" t="s">
        <v>415</v>
      </c>
    </row>
    <row r="2483" spans="1:9" ht="29" x14ac:dyDescent="0.35">
      <c r="A2483" s="195">
        <v>18</v>
      </c>
      <c r="B2483" s="195">
        <v>8</v>
      </c>
      <c r="C2483" s="195" t="s">
        <v>3039</v>
      </c>
      <c r="D2483" s="64">
        <v>3215</v>
      </c>
      <c r="E2483" s="195" t="s">
        <v>373</v>
      </c>
      <c r="F2483" s="71" t="s">
        <v>508</v>
      </c>
      <c r="G2483" s="71" t="s">
        <v>3017</v>
      </c>
      <c r="H2483" s="71" t="s">
        <v>2456</v>
      </c>
      <c r="I2483" s="71" t="s">
        <v>415</v>
      </c>
    </row>
    <row r="2484" spans="1:9" ht="43.5" x14ac:dyDescent="0.35">
      <c r="A2484" s="195">
        <v>18</v>
      </c>
      <c r="B2484" s="195">
        <v>9</v>
      </c>
      <c r="C2484" s="195" t="s">
        <v>3043</v>
      </c>
      <c r="D2484" s="64">
        <v>159680</v>
      </c>
      <c r="E2484" s="195" t="s">
        <v>366</v>
      </c>
      <c r="F2484" s="71" t="s">
        <v>3020</v>
      </c>
      <c r="G2484" s="71" t="s">
        <v>3017</v>
      </c>
      <c r="H2484" s="71" t="s">
        <v>3044</v>
      </c>
      <c r="I2484" s="71" t="s">
        <v>363</v>
      </c>
    </row>
    <row r="2485" spans="1:9" ht="43.5" x14ac:dyDescent="0.35">
      <c r="A2485" s="195">
        <v>18</v>
      </c>
      <c r="B2485" s="195">
        <v>9</v>
      </c>
      <c r="C2485" s="195" t="s">
        <v>3045</v>
      </c>
      <c r="D2485" s="64">
        <v>77240</v>
      </c>
      <c r="E2485" s="195" t="s">
        <v>366</v>
      </c>
      <c r="F2485" s="71" t="s">
        <v>2510</v>
      </c>
      <c r="G2485" s="71" t="s">
        <v>3017</v>
      </c>
      <c r="H2485" s="71" t="s">
        <v>3044</v>
      </c>
      <c r="I2485" s="71" t="s">
        <v>363</v>
      </c>
    </row>
    <row r="2486" spans="1:9" ht="29" x14ac:dyDescent="0.35">
      <c r="A2486" s="195">
        <v>18</v>
      </c>
      <c r="B2486" s="195">
        <v>9</v>
      </c>
      <c r="C2486" s="195" t="s">
        <v>3041</v>
      </c>
      <c r="D2486" s="64">
        <v>28330</v>
      </c>
      <c r="E2486" s="195" t="s">
        <v>366</v>
      </c>
      <c r="F2486" s="71" t="s">
        <v>508</v>
      </c>
      <c r="G2486" s="71" t="s">
        <v>3017</v>
      </c>
      <c r="H2486" s="71" t="s">
        <v>3042</v>
      </c>
      <c r="I2486" s="71" t="s">
        <v>363</v>
      </c>
    </row>
    <row r="2487" spans="1:9" ht="43.5" x14ac:dyDescent="0.35">
      <c r="A2487" s="195">
        <v>18</v>
      </c>
      <c r="B2487" s="195">
        <v>10</v>
      </c>
      <c r="C2487" s="195" t="s">
        <v>3046</v>
      </c>
      <c r="D2487" s="64">
        <v>10405</v>
      </c>
      <c r="E2487" s="195" t="s">
        <v>373</v>
      </c>
      <c r="F2487" s="71" t="s">
        <v>3020</v>
      </c>
      <c r="G2487" s="71" t="s">
        <v>3017</v>
      </c>
      <c r="H2487" s="71" t="s">
        <v>3044</v>
      </c>
      <c r="I2487" s="71" t="s">
        <v>371</v>
      </c>
    </row>
    <row r="2488" spans="1:9" ht="43.5" x14ac:dyDescent="0.35">
      <c r="A2488" s="195">
        <v>18</v>
      </c>
      <c r="B2488" s="195">
        <v>10</v>
      </c>
      <c r="C2488" s="195" t="s">
        <v>3047</v>
      </c>
      <c r="D2488" s="64">
        <v>10665</v>
      </c>
      <c r="E2488" s="195" t="s">
        <v>373</v>
      </c>
      <c r="F2488" s="71" t="s">
        <v>2510</v>
      </c>
      <c r="G2488" s="71" t="s">
        <v>3017</v>
      </c>
      <c r="H2488" s="71" t="s">
        <v>3044</v>
      </c>
      <c r="I2488" s="71" t="s">
        <v>371</v>
      </c>
    </row>
    <row r="2489" spans="1:9" ht="29" x14ac:dyDescent="0.35">
      <c r="A2489" s="195">
        <v>18</v>
      </c>
      <c r="B2489" s="195">
        <v>10</v>
      </c>
      <c r="C2489" s="195" t="s">
        <v>3048</v>
      </c>
      <c r="D2489" s="64">
        <v>10570</v>
      </c>
      <c r="E2489" s="195" t="s">
        <v>373</v>
      </c>
      <c r="F2489" s="71" t="s">
        <v>508</v>
      </c>
      <c r="G2489" s="71" t="s">
        <v>3017</v>
      </c>
      <c r="H2489" s="71" t="s">
        <v>3042</v>
      </c>
      <c r="I2489" s="71" t="s">
        <v>371</v>
      </c>
    </row>
    <row r="2490" spans="1:9" ht="43.5" x14ac:dyDescent="0.35">
      <c r="A2490" s="195">
        <v>18</v>
      </c>
      <c r="B2490" s="195">
        <v>11</v>
      </c>
      <c r="C2490" s="195" t="s">
        <v>3049</v>
      </c>
      <c r="D2490" s="64">
        <v>13690</v>
      </c>
      <c r="E2490" s="195" t="s">
        <v>373</v>
      </c>
      <c r="F2490" s="71" t="s">
        <v>3020</v>
      </c>
      <c r="G2490" s="71" t="s">
        <v>3017</v>
      </c>
      <c r="H2490" s="71" t="s">
        <v>3044</v>
      </c>
      <c r="I2490" s="71" t="s">
        <v>2805</v>
      </c>
    </row>
    <row r="2491" spans="1:9" ht="43.5" x14ac:dyDescent="0.35">
      <c r="A2491" s="195">
        <v>18</v>
      </c>
      <c r="B2491" s="195">
        <v>11</v>
      </c>
      <c r="C2491" s="195" t="s">
        <v>3051</v>
      </c>
      <c r="D2491" s="64">
        <v>13740</v>
      </c>
      <c r="E2491" s="195" t="s">
        <v>373</v>
      </c>
      <c r="F2491" s="71" t="s">
        <v>2510</v>
      </c>
      <c r="G2491" s="71" t="s">
        <v>3017</v>
      </c>
      <c r="H2491" s="71" t="s">
        <v>3044</v>
      </c>
      <c r="I2491" s="71" t="s">
        <v>2805</v>
      </c>
    </row>
    <row r="2492" spans="1:9" ht="43.5" x14ac:dyDescent="0.35">
      <c r="A2492" s="195">
        <v>18</v>
      </c>
      <c r="B2492" s="195">
        <v>11</v>
      </c>
      <c r="C2492" s="195" t="s">
        <v>3050</v>
      </c>
      <c r="D2492" s="64">
        <v>6555</v>
      </c>
      <c r="E2492" s="195" t="s">
        <v>373</v>
      </c>
      <c r="F2492" s="71" t="s">
        <v>508</v>
      </c>
      <c r="G2492" s="71" t="s">
        <v>3017</v>
      </c>
      <c r="H2492" s="71" t="s">
        <v>3042</v>
      </c>
      <c r="I2492" s="71" t="s">
        <v>2805</v>
      </c>
    </row>
    <row r="2493" spans="1:9" ht="43.5" x14ac:dyDescent="0.35">
      <c r="A2493" s="195">
        <v>18</v>
      </c>
      <c r="B2493" s="195">
        <v>12</v>
      </c>
      <c r="C2493" s="195" t="s">
        <v>3052</v>
      </c>
      <c r="D2493" s="64">
        <v>26810</v>
      </c>
      <c r="E2493" s="195" t="s">
        <v>373</v>
      </c>
      <c r="F2493" s="71" t="s">
        <v>3020</v>
      </c>
      <c r="G2493" s="71" t="s">
        <v>3017</v>
      </c>
      <c r="H2493" s="71" t="s">
        <v>3044</v>
      </c>
      <c r="I2493" s="71" t="s">
        <v>2827</v>
      </c>
    </row>
    <row r="2494" spans="1:9" ht="43.5" x14ac:dyDescent="0.35">
      <c r="A2494" s="195">
        <v>18</v>
      </c>
      <c r="B2494" s="195">
        <v>12</v>
      </c>
      <c r="C2494" s="195" t="s">
        <v>3053</v>
      </c>
      <c r="D2494" s="64">
        <v>16250</v>
      </c>
      <c r="E2494" s="195" t="s">
        <v>373</v>
      </c>
      <c r="F2494" s="71" t="s">
        <v>2510</v>
      </c>
      <c r="G2494" s="71" t="s">
        <v>3017</v>
      </c>
      <c r="H2494" s="71" t="s">
        <v>3044</v>
      </c>
      <c r="I2494" s="71" t="s">
        <v>2827</v>
      </c>
    </row>
    <row r="2495" spans="1:9" ht="43.5" x14ac:dyDescent="0.35">
      <c r="A2495" s="195">
        <v>18</v>
      </c>
      <c r="B2495" s="195">
        <v>12</v>
      </c>
      <c r="C2495" s="195" t="s">
        <v>3054</v>
      </c>
      <c r="D2495" s="64">
        <v>5820</v>
      </c>
      <c r="E2495" s="195" t="s">
        <v>373</v>
      </c>
      <c r="F2495" s="71" t="s">
        <v>508</v>
      </c>
      <c r="G2495" s="71" t="s">
        <v>3017</v>
      </c>
      <c r="H2495" s="71" t="s">
        <v>3042</v>
      </c>
      <c r="I2495" s="71" t="s">
        <v>2827</v>
      </c>
    </row>
    <row r="2496" spans="1:9" ht="43.5" x14ac:dyDescent="0.35">
      <c r="A2496" s="195">
        <v>18</v>
      </c>
      <c r="B2496" s="195">
        <v>13</v>
      </c>
      <c r="C2496" s="195" t="s">
        <v>3057</v>
      </c>
      <c r="D2496" s="64">
        <v>19900</v>
      </c>
      <c r="E2496" s="195" t="s">
        <v>373</v>
      </c>
      <c r="F2496" s="71" t="s">
        <v>3020</v>
      </c>
      <c r="G2496" s="71" t="s">
        <v>3017</v>
      </c>
      <c r="H2496" s="71" t="s">
        <v>3044</v>
      </c>
      <c r="I2496" s="71" t="s">
        <v>3035</v>
      </c>
    </row>
    <row r="2497" spans="1:9" ht="43.5" x14ac:dyDescent="0.35">
      <c r="A2497" s="195">
        <v>18</v>
      </c>
      <c r="B2497" s="195">
        <v>13</v>
      </c>
      <c r="C2497" s="195" t="s">
        <v>3056</v>
      </c>
      <c r="D2497" s="64">
        <v>9025</v>
      </c>
      <c r="E2497" s="195" t="s">
        <v>373</v>
      </c>
      <c r="F2497" s="71" t="s">
        <v>2510</v>
      </c>
      <c r="G2497" s="71" t="s">
        <v>3017</v>
      </c>
      <c r="H2497" s="71" t="s">
        <v>3044</v>
      </c>
      <c r="I2497" s="71" t="s">
        <v>3035</v>
      </c>
    </row>
    <row r="2498" spans="1:9" ht="43.5" x14ac:dyDescent="0.35">
      <c r="A2498" s="195">
        <v>18</v>
      </c>
      <c r="B2498" s="195">
        <v>13</v>
      </c>
      <c r="C2498" s="195" t="s">
        <v>3055</v>
      </c>
      <c r="D2498" s="64">
        <v>1960</v>
      </c>
      <c r="E2498" s="195" t="s">
        <v>373</v>
      </c>
      <c r="F2498" s="71" t="s">
        <v>508</v>
      </c>
      <c r="G2498" s="71" t="s">
        <v>3017</v>
      </c>
      <c r="H2498" s="71" t="s">
        <v>3042</v>
      </c>
      <c r="I2498" s="71" t="s">
        <v>3035</v>
      </c>
    </row>
    <row r="2499" spans="1:9" ht="43.5" x14ac:dyDescent="0.35">
      <c r="A2499" s="195">
        <v>18</v>
      </c>
      <c r="B2499" s="195">
        <v>14</v>
      </c>
      <c r="C2499" s="195" t="s">
        <v>3060</v>
      </c>
      <c r="D2499" s="64">
        <v>88875</v>
      </c>
      <c r="E2499" s="195" t="s">
        <v>373</v>
      </c>
      <c r="F2499" s="71" t="s">
        <v>3020</v>
      </c>
      <c r="G2499" s="71" t="s">
        <v>3017</v>
      </c>
      <c r="H2499" s="71" t="s">
        <v>3044</v>
      </c>
      <c r="I2499" s="71" t="s">
        <v>415</v>
      </c>
    </row>
    <row r="2500" spans="1:9" ht="43.5" x14ac:dyDescent="0.35">
      <c r="A2500" s="195">
        <v>18</v>
      </c>
      <c r="B2500" s="195">
        <v>14</v>
      </c>
      <c r="C2500" s="195" t="s">
        <v>3058</v>
      </c>
      <c r="D2500" s="64">
        <v>27565</v>
      </c>
      <c r="E2500" s="195" t="s">
        <v>373</v>
      </c>
      <c r="F2500" s="71" t="s">
        <v>2510</v>
      </c>
      <c r="G2500" s="71" t="s">
        <v>3017</v>
      </c>
      <c r="H2500" s="71" t="s">
        <v>3044</v>
      </c>
      <c r="I2500" s="71" t="s">
        <v>415</v>
      </c>
    </row>
    <row r="2501" spans="1:9" ht="29" x14ac:dyDescent="0.35">
      <c r="A2501" s="195">
        <v>18</v>
      </c>
      <c r="B2501" s="195">
        <v>14</v>
      </c>
      <c r="C2501" s="195" t="s">
        <v>3059</v>
      </c>
      <c r="D2501" s="64">
        <v>3425</v>
      </c>
      <c r="E2501" s="195" t="s">
        <v>373</v>
      </c>
      <c r="F2501" s="71" t="s">
        <v>508</v>
      </c>
      <c r="G2501" s="71" t="s">
        <v>3017</v>
      </c>
      <c r="H2501" s="71" t="s">
        <v>3042</v>
      </c>
      <c r="I2501" s="71" t="s">
        <v>415</v>
      </c>
    </row>
    <row r="2502" spans="1:9" ht="43.5" x14ac:dyDescent="0.35">
      <c r="A2502" s="195">
        <v>18</v>
      </c>
      <c r="B2502" s="195">
        <v>15</v>
      </c>
      <c r="C2502" s="195" t="s">
        <v>3065</v>
      </c>
      <c r="D2502" s="64">
        <v>71975</v>
      </c>
      <c r="E2502" s="195" t="s">
        <v>366</v>
      </c>
      <c r="F2502" s="71" t="s">
        <v>3020</v>
      </c>
      <c r="G2502" s="71" t="s">
        <v>3017</v>
      </c>
      <c r="H2502" s="71" t="s">
        <v>3064</v>
      </c>
      <c r="I2502" s="71" t="s">
        <v>363</v>
      </c>
    </row>
    <row r="2503" spans="1:9" ht="43.5" x14ac:dyDescent="0.35">
      <c r="A2503" s="195">
        <v>18</v>
      </c>
      <c r="B2503" s="195">
        <v>15</v>
      </c>
      <c r="C2503" s="195" t="s">
        <v>3063</v>
      </c>
      <c r="D2503" s="64">
        <v>34220</v>
      </c>
      <c r="E2503" s="195" t="s">
        <v>366</v>
      </c>
      <c r="F2503" s="71" t="s">
        <v>2510</v>
      </c>
      <c r="G2503" s="71" t="s">
        <v>3017</v>
      </c>
      <c r="H2503" s="71" t="s">
        <v>3064</v>
      </c>
      <c r="I2503" s="71" t="s">
        <v>363</v>
      </c>
    </row>
    <row r="2504" spans="1:9" ht="29" x14ac:dyDescent="0.35">
      <c r="A2504" s="195">
        <v>18</v>
      </c>
      <c r="B2504" s="195">
        <v>15</v>
      </c>
      <c r="C2504" s="195" t="s">
        <v>3061</v>
      </c>
      <c r="D2504" s="64">
        <v>50535</v>
      </c>
      <c r="E2504" s="195" t="s">
        <v>366</v>
      </c>
      <c r="F2504" s="71" t="s">
        <v>508</v>
      </c>
      <c r="G2504" s="71" t="s">
        <v>3017</v>
      </c>
      <c r="H2504" s="71" t="s">
        <v>3062</v>
      </c>
      <c r="I2504" s="71" t="s">
        <v>363</v>
      </c>
    </row>
    <row r="2505" spans="1:9" ht="43.5" x14ac:dyDescent="0.35">
      <c r="A2505" s="195">
        <v>18</v>
      </c>
      <c r="B2505" s="195">
        <v>16</v>
      </c>
      <c r="C2505" s="195" t="s">
        <v>3066</v>
      </c>
      <c r="D2505" s="64">
        <v>2675</v>
      </c>
      <c r="E2505" s="195" t="s">
        <v>373</v>
      </c>
      <c r="F2505" s="71" t="s">
        <v>3020</v>
      </c>
      <c r="G2505" s="71" t="s">
        <v>3017</v>
      </c>
      <c r="H2505" s="71" t="s">
        <v>3064</v>
      </c>
      <c r="I2505" s="71" t="s">
        <v>371</v>
      </c>
    </row>
    <row r="2506" spans="1:9" ht="43.5" x14ac:dyDescent="0.35">
      <c r="A2506" s="195">
        <v>18</v>
      </c>
      <c r="B2506" s="195">
        <v>16</v>
      </c>
      <c r="C2506" s="195" t="s">
        <v>3068</v>
      </c>
      <c r="D2506" s="64">
        <v>3905</v>
      </c>
      <c r="E2506" s="195" t="s">
        <v>373</v>
      </c>
      <c r="F2506" s="71" t="s">
        <v>2510</v>
      </c>
      <c r="G2506" s="71" t="s">
        <v>3017</v>
      </c>
      <c r="H2506" s="71" t="s">
        <v>3064</v>
      </c>
      <c r="I2506" s="71" t="s">
        <v>371</v>
      </c>
    </row>
    <row r="2507" spans="1:9" ht="29" x14ac:dyDescent="0.35">
      <c r="A2507" s="195">
        <v>18</v>
      </c>
      <c r="B2507" s="195">
        <v>16</v>
      </c>
      <c r="C2507" s="195" t="s">
        <v>3067</v>
      </c>
      <c r="D2507" s="64">
        <v>13980</v>
      </c>
      <c r="E2507" s="195" t="s">
        <v>373</v>
      </c>
      <c r="F2507" s="71" t="s">
        <v>508</v>
      </c>
      <c r="G2507" s="71" t="s">
        <v>3017</v>
      </c>
      <c r="H2507" s="71" t="s">
        <v>3062</v>
      </c>
      <c r="I2507" s="71" t="s">
        <v>371</v>
      </c>
    </row>
    <row r="2508" spans="1:9" ht="43.5" x14ac:dyDescent="0.35">
      <c r="A2508" s="195">
        <v>18</v>
      </c>
      <c r="B2508" s="195">
        <v>17</v>
      </c>
      <c r="C2508" s="195" t="s">
        <v>3070</v>
      </c>
      <c r="D2508" s="64">
        <v>3940</v>
      </c>
      <c r="E2508" s="195" t="s">
        <v>373</v>
      </c>
      <c r="F2508" s="71" t="s">
        <v>3020</v>
      </c>
      <c r="G2508" s="71" t="s">
        <v>3017</v>
      </c>
      <c r="H2508" s="71" t="s">
        <v>3064</v>
      </c>
      <c r="I2508" s="71" t="s">
        <v>2805</v>
      </c>
    </row>
    <row r="2509" spans="1:9" ht="43.5" x14ac:dyDescent="0.35">
      <c r="A2509" s="195">
        <v>18</v>
      </c>
      <c r="B2509" s="195">
        <v>17</v>
      </c>
      <c r="C2509" s="195" t="s">
        <v>3071</v>
      </c>
      <c r="D2509" s="64">
        <v>4865</v>
      </c>
      <c r="E2509" s="195" t="s">
        <v>373</v>
      </c>
      <c r="F2509" s="71" t="s">
        <v>2510</v>
      </c>
      <c r="G2509" s="71" t="s">
        <v>3017</v>
      </c>
      <c r="H2509" s="71" t="s">
        <v>3064</v>
      </c>
      <c r="I2509" s="71" t="s">
        <v>2805</v>
      </c>
    </row>
    <row r="2510" spans="1:9" ht="43.5" x14ac:dyDescent="0.35">
      <c r="A2510" s="195">
        <v>18</v>
      </c>
      <c r="B2510" s="195">
        <v>17</v>
      </c>
      <c r="C2510" s="195" t="s">
        <v>3069</v>
      </c>
      <c r="D2510" s="64">
        <v>9800</v>
      </c>
      <c r="E2510" s="195" t="s">
        <v>373</v>
      </c>
      <c r="F2510" s="71" t="s">
        <v>508</v>
      </c>
      <c r="G2510" s="71" t="s">
        <v>3017</v>
      </c>
      <c r="H2510" s="71" t="s">
        <v>3062</v>
      </c>
      <c r="I2510" s="71" t="s">
        <v>2805</v>
      </c>
    </row>
    <row r="2511" spans="1:9" ht="43.5" x14ac:dyDescent="0.35">
      <c r="A2511" s="195">
        <v>18</v>
      </c>
      <c r="B2511" s="195">
        <v>18</v>
      </c>
      <c r="C2511" s="195" t="s">
        <v>3074</v>
      </c>
      <c r="D2511" s="64">
        <v>8390</v>
      </c>
      <c r="E2511" s="195" t="s">
        <v>373</v>
      </c>
      <c r="F2511" s="71" t="s">
        <v>3020</v>
      </c>
      <c r="G2511" s="71" t="s">
        <v>3017</v>
      </c>
      <c r="H2511" s="71" t="s">
        <v>3064</v>
      </c>
      <c r="I2511" s="71" t="s">
        <v>2827</v>
      </c>
    </row>
    <row r="2512" spans="1:9" ht="43.5" x14ac:dyDescent="0.35">
      <c r="A2512" s="195">
        <v>18</v>
      </c>
      <c r="B2512" s="195">
        <v>18</v>
      </c>
      <c r="C2512" s="195" t="s">
        <v>3072</v>
      </c>
      <c r="D2512" s="64">
        <v>5905</v>
      </c>
      <c r="E2512" s="195" t="s">
        <v>373</v>
      </c>
      <c r="F2512" s="71" t="s">
        <v>2510</v>
      </c>
      <c r="G2512" s="71" t="s">
        <v>3017</v>
      </c>
      <c r="H2512" s="71" t="s">
        <v>3064</v>
      </c>
      <c r="I2512" s="71" t="s">
        <v>2827</v>
      </c>
    </row>
    <row r="2513" spans="1:9" ht="43.5" x14ac:dyDescent="0.35">
      <c r="A2513" s="195">
        <v>18</v>
      </c>
      <c r="B2513" s="195">
        <v>18</v>
      </c>
      <c r="C2513" s="195" t="s">
        <v>3073</v>
      </c>
      <c r="D2513" s="64">
        <v>10615</v>
      </c>
      <c r="E2513" s="195" t="s">
        <v>373</v>
      </c>
      <c r="F2513" s="71" t="s">
        <v>508</v>
      </c>
      <c r="G2513" s="71" t="s">
        <v>3017</v>
      </c>
      <c r="H2513" s="71" t="s">
        <v>3062</v>
      </c>
      <c r="I2513" s="71" t="s">
        <v>2827</v>
      </c>
    </row>
    <row r="2514" spans="1:9" ht="43.5" x14ac:dyDescent="0.35">
      <c r="A2514" s="195">
        <v>18</v>
      </c>
      <c r="B2514" s="195">
        <v>19</v>
      </c>
      <c r="C2514" s="195" t="s">
        <v>3075</v>
      </c>
      <c r="D2514" s="64">
        <v>7295</v>
      </c>
      <c r="E2514" s="195" t="s">
        <v>373</v>
      </c>
      <c r="F2514" s="71" t="s">
        <v>3020</v>
      </c>
      <c r="G2514" s="71" t="s">
        <v>3017</v>
      </c>
      <c r="H2514" s="71" t="s">
        <v>3064</v>
      </c>
      <c r="I2514" s="71" t="s">
        <v>3035</v>
      </c>
    </row>
    <row r="2515" spans="1:9" ht="43.5" x14ac:dyDescent="0.35">
      <c r="A2515" s="195">
        <v>18</v>
      </c>
      <c r="B2515" s="195">
        <v>19</v>
      </c>
      <c r="C2515" s="195" t="s">
        <v>3077</v>
      </c>
      <c r="D2515" s="64">
        <v>3550</v>
      </c>
      <c r="E2515" s="195" t="s">
        <v>373</v>
      </c>
      <c r="F2515" s="71" t="s">
        <v>2510</v>
      </c>
      <c r="G2515" s="71" t="s">
        <v>3017</v>
      </c>
      <c r="H2515" s="71" t="s">
        <v>3064</v>
      </c>
      <c r="I2515" s="71" t="s">
        <v>3035</v>
      </c>
    </row>
    <row r="2516" spans="1:9" ht="43.5" x14ac:dyDescent="0.35">
      <c r="A2516" s="195">
        <v>18</v>
      </c>
      <c r="B2516" s="195">
        <v>19</v>
      </c>
      <c r="C2516" s="195" t="s">
        <v>3076</v>
      </c>
      <c r="D2516" s="64">
        <v>4820</v>
      </c>
      <c r="E2516" s="195" t="s">
        <v>373</v>
      </c>
      <c r="F2516" s="71" t="s">
        <v>508</v>
      </c>
      <c r="G2516" s="71" t="s">
        <v>3017</v>
      </c>
      <c r="H2516" s="71" t="s">
        <v>3062</v>
      </c>
      <c r="I2516" s="71" t="s">
        <v>3035</v>
      </c>
    </row>
    <row r="2517" spans="1:9" ht="43.5" x14ac:dyDescent="0.35">
      <c r="A2517" s="195">
        <v>18</v>
      </c>
      <c r="B2517" s="195">
        <v>20</v>
      </c>
      <c r="C2517" s="195" t="s">
        <v>3079</v>
      </c>
      <c r="D2517" s="64">
        <v>49670</v>
      </c>
      <c r="E2517" s="195" t="s">
        <v>373</v>
      </c>
      <c r="F2517" s="71" t="s">
        <v>3020</v>
      </c>
      <c r="G2517" s="71" t="s">
        <v>3017</v>
      </c>
      <c r="H2517" s="71" t="s">
        <v>3064</v>
      </c>
      <c r="I2517" s="71" t="s">
        <v>415</v>
      </c>
    </row>
    <row r="2518" spans="1:9" ht="43.5" x14ac:dyDescent="0.35">
      <c r="A2518" s="195">
        <v>18</v>
      </c>
      <c r="B2518" s="195">
        <v>20</v>
      </c>
      <c r="C2518" s="195" t="s">
        <v>3080</v>
      </c>
      <c r="D2518" s="64">
        <v>15995</v>
      </c>
      <c r="E2518" s="195" t="s">
        <v>373</v>
      </c>
      <c r="F2518" s="71" t="s">
        <v>2510</v>
      </c>
      <c r="G2518" s="71" t="s">
        <v>3017</v>
      </c>
      <c r="H2518" s="71" t="s">
        <v>3064</v>
      </c>
      <c r="I2518" s="71" t="s">
        <v>415</v>
      </c>
    </row>
    <row r="2519" spans="1:9" ht="29" x14ac:dyDescent="0.35">
      <c r="A2519" s="195">
        <v>18</v>
      </c>
      <c r="B2519" s="195">
        <v>20</v>
      </c>
      <c r="C2519" s="195" t="s">
        <v>3078</v>
      </c>
      <c r="D2519" s="64">
        <v>11320</v>
      </c>
      <c r="E2519" s="195" t="s">
        <v>373</v>
      </c>
      <c r="F2519" s="71" t="s">
        <v>508</v>
      </c>
      <c r="G2519" s="71" t="s">
        <v>3017</v>
      </c>
      <c r="H2519" s="71" t="s">
        <v>3062</v>
      </c>
      <c r="I2519" s="71" t="s">
        <v>415</v>
      </c>
    </row>
    <row r="2520" spans="1:9" ht="29" x14ac:dyDescent="0.35">
      <c r="A2520" s="195">
        <v>18</v>
      </c>
      <c r="B2520" s="195">
        <v>21</v>
      </c>
      <c r="C2520" s="195" t="s">
        <v>3082</v>
      </c>
      <c r="D2520" s="64">
        <v>174255</v>
      </c>
      <c r="E2520" s="195" t="s">
        <v>366</v>
      </c>
      <c r="F2520" s="71" t="s">
        <v>3020</v>
      </c>
      <c r="G2520" s="71" t="s">
        <v>3017</v>
      </c>
      <c r="H2520" s="71" t="s">
        <v>3083</v>
      </c>
      <c r="I2520" s="71" t="s">
        <v>363</v>
      </c>
    </row>
    <row r="2521" spans="1:9" ht="29" x14ac:dyDescent="0.35">
      <c r="A2521" s="195">
        <v>18</v>
      </c>
      <c r="B2521" s="195">
        <v>21</v>
      </c>
      <c r="C2521" s="195" t="s">
        <v>3084</v>
      </c>
      <c r="D2521" s="64">
        <v>74230</v>
      </c>
      <c r="E2521" s="195" t="s">
        <v>366</v>
      </c>
      <c r="F2521" s="71" t="s">
        <v>2510</v>
      </c>
      <c r="G2521" s="71" t="s">
        <v>3017</v>
      </c>
      <c r="H2521" s="71" t="s">
        <v>3083</v>
      </c>
      <c r="I2521" s="71" t="s">
        <v>363</v>
      </c>
    </row>
    <row r="2522" spans="1:9" ht="29" x14ac:dyDescent="0.35">
      <c r="A2522" s="195">
        <v>18</v>
      </c>
      <c r="B2522" s="195">
        <v>21</v>
      </c>
      <c r="C2522" s="195" t="s">
        <v>3081</v>
      </c>
      <c r="D2522" s="64">
        <v>23375</v>
      </c>
      <c r="E2522" s="195" t="s">
        <v>366</v>
      </c>
      <c r="F2522" s="71" t="s">
        <v>508</v>
      </c>
      <c r="G2522" s="71" t="s">
        <v>3017</v>
      </c>
      <c r="H2522" s="71" t="s">
        <v>2491</v>
      </c>
      <c r="I2522" s="71" t="s">
        <v>363</v>
      </c>
    </row>
    <row r="2523" spans="1:9" ht="29" x14ac:dyDescent="0.35">
      <c r="A2523" s="195">
        <v>18</v>
      </c>
      <c r="B2523" s="195">
        <v>22</v>
      </c>
      <c r="C2523" s="195" t="s">
        <v>3087</v>
      </c>
      <c r="D2523" s="64">
        <v>4815</v>
      </c>
      <c r="E2523" s="195" t="s">
        <v>373</v>
      </c>
      <c r="F2523" s="71" t="s">
        <v>3020</v>
      </c>
      <c r="G2523" s="71" t="s">
        <v>3017</v>
      </c>
      <c r="H2523" s="71" t="s">
        <v>3083</v>
      </c>
      <c r="I2523" s="71" t="s">
        <v>371</v>
      </c>
    </row>
    <row r="2524" spans="1:9" ht="29" x14ac:dyDescent="0.35">
      <c r="A2524" s="195">
        <v>18</v>
      </c>
      <c r="B2524" s="195">
        <v>22</v>
      </c>
      <c r="C2524" s="195" t="s">
        <v>3085</v>
      </c>
      <c r="D2524" s="64">
        <v>5620</v>
      </c>
      <c r="E2524" s="195" t="s">
        <v>373</v>
      </c>
      <c r="F2524" s="71" t="s">
        <v>2510</v>
      </c>
      <c r="G2524" s="71" t="s">
        <v>3017</v>
      </c>
      <c r="H2524" s="71" t="s">
        <v>3083</v>
      </c>
      <c r="I2524" s="71" t="s">
        <v>371</v>
      </c>
    </row>
    <row r="2525" spans="1:9" ht="29" x14ac:dyDescent="0.35">
      <c r="A2525" s="195">
        <v>18</v>
      </c>
      <c r="B2525" s="195">
        <v>22</v>
      </c>
      <c r="C2525" s="195" t="s">
        <v>3086</v>
      </c>
      <c r="D2525" s="64">
        <v>3310</v>
      </c>
      <c r="E2525" s="195" t="s">
        <v>373</v>
      </c>
      <c r="F2525" s="71" t="s">
        <v>508</v>
      </c>
      <c r="G2525" s="71" t="s">
        <v>3017</v>
      </c>
      <c r="H2525" s="71" t="s">
        <v>2491</v>
      </c>
      <c r="I2525" s="71" t="s">
        <v>371</v>
      </c>
    </row>
    <row r="2526" spans="1:9" ht="43.5" x14ac:dyDescent="0.35">
      <c r="A2526" s="195">
        <v>18</v>
      </c>
      <c r="B2526" s="195">
        <v>23</v>
      </c>
      <c r="C2526" s="195" t="s">
        <v>3088</v>
      </c>
      <c r="D2526" s="64">
        <v>5705</v>
      </c>
      <c r="E2526" s="195" t="s">
        <v>373</v>
      </c>
      <c r="F2526" s="71" t="s">
        <v>3020</v>
      </c>
      <c r="G2526" s="71" t="s">
        <v>3017</v>
      </c>
      <c r="H2526" s="71" t="s">
        <v>3083</v>
      </c>
      <c r="I2526" s="71" t="s">
        <v>2805</v>
      </c>
    </row>
    <row r="2527" spans="1:9" ht="43.5" x14ac:dyDescent="0.35">
      <c r="A2527" s="195">
        <v>18</v>
      </c>
      <c r="B2527" s="195">
        <v>23</v>
      </c>
      <c r="C2527" s="195" t="s">
        <v>3090</v>
      </c>
      <c r="D2527" s="64">
        <v>7045</v>
      </c>
      <c r="E2527" s="195" t="s">
        <v>373</v>
      </c>
      <c r="F2527" s="71" t="s">
        <v>2510</v>
      </c>
      <c r="G2527" s="71" t="s">
        <v>3017</v>
      </c>
      <c r="H2527" s="71" t="s">
        <v>3083</v>
      </c>
      <c r="I2527" s="71" t="s">
        <v>2805</v>
      </c>
    </row>
    <row r="2528" spans="1:9" ht="43.5" x14ac:dyDescent="0.35">
      <c r="A2528" s="195">
        <v>18</v>
      </c>
      <c r="B2528" s="195">
        <v>23</v>
      </c>
      <c r="C2528" s="195" t="s">
        <v>3089</v>
      </c>
      <c r="D2528" s="64">
        <v>2450</v>
      </c>
      <c r="E2528" s="195" t="s">
        <v>373</v>
      </c>
      <c r="F2528" s="71" t="s">
        <v>508</v>
      </c>
      <c r="G2528" s="71" t="s">
        <v>3017</v>
      </c>
      <c r="H2528" s="71" t="s">
        <v>2491</v>
      </c>
      <c r="I2528" s="71" t="s">
        <v>2805</v>
      </c>
    </row>
    <row r="2529" spans="1:9" ht="43.5" x14ac:dyDescent="0.35">
      <c r="A2529" s="195">
        <v>18</v>
      </c>
      <c r="B2529" s="195">
        <v>24</v>
      </c>
      <c r="C2529" s="195" t="s">
        <v>3091</v>
      </c>
      <c r="D2529" s="64">
        <v>10995</v>
      </c>
      <c r="E2529" s="195" t="s">
        <v>373</v>
      </c>
      <c r="F2529" s="71" t="s">
        <v>3020</v>
      </c>
      <c r="G2529" s="71" t="s">
        <v>3017</v>
      </c>
      <c r="H2529" s="71" t="s">
        <v>3083</v>
      </c>
      <c r="I2529" s="71" t="s">
        <v>2827</v>
      </c>
    </row>
    <row r="2530" spans="1:9" ht="43.5" x14ac:dyDescent="0.35">
      <c r="A2530" s="195">
        <v>18</v>
      </c>
      <c r="B2530" s="195">
        <v>24</v>
      </c>
      <c r="C2530" s="195" t="s">
        <v>3092</v>
      </c>
      <c r="D2530" s="64">
        <v>9345</v>
      </c>
      <c r="E2530" s="195" t="s">
        <v>373</v>
      </c>
      <c r="F2530" s="71" t="s">
        <v>2510</v>
      </c>
      <c r="G2530" s="71" t="s">
        <v>3017</v>
      </c>
      <c r="H2530" s="71" t="s">
        <v>3083</v>
      </c>
      <c r="I2530" s="71" t="s">
        <v>2827</v>
      </c>
    </row>
    <row r="2531" spans="1:9" ht="43.5" x14ac:dyDescent="0.35">
      <c r="A2531" s="195">
        <v>18</v>
      </c>
      <c r="B2531" s="195">
        <v>24</v>
      </c>
      <c r="C2531" s="195" t="s">
        <v>3093</v>
      </c>
      <c r="D2531" s="64">
        <v>3325</v>
      </c>
      <c r="E2531" s="195" t="s">
        <v>373</v>
      </c>
      <c r="F2531" s="71" t="s">
        <v>508</v>
      </c>
      <c r="G2531" s="71" t="s">
        <v>3017</v>
      </c>
      <c r="H2531" s="71" t="s">
        <v>2491</v>
      </c>
      <c r="I2531" s="71" t="s">
        <v>2827</v>
      </c>
    </row>
    <row r="2532" spans="1:9" ht="43.5" x14ac:dyDescent="0.35">
      <c r="A2532" s="195">
        <v>18</v>
      </c>
      <c r="B2532" s="195">
        <v>25</v>
      </c>
      <c r="C2532" s="195" t="s">
        <v>3095</v>
      </c>
      <c r="D2532" s="64">
        <v>8960</v>
      </c>
      <c r="E2532" s="195" t="s">
        <v>373</v>
      </c>
      <c r="F2532" s="71" t="s">
        <v>3020</v>
      </c>
      <c r="G2532" s="71" t="s">
        <v>3017</v>
      </c>
      <c r="H2532" s="71" t="s">
        <v>3083</v>
      </c>
      <c r="I2532" s="71" t="s">
        <v>3035</v>
      </c>
    </row>
    <row r="2533" spans="1:9" ht="43.5" x14ac:dyDescent="0.35">
      <c r="A2533" s="195">
        <v>18</v>
      </c>
      <c r="B2533" s="195">
        <v>25</v>
      </c>
      <c r="C2533" s="195" t="s">
        <v>3096</v>
      </c>
      <c r="D2533" s="64">
        <v>5740</v>
      </c>
      <c r="E2533" s="195" t="s">
        <v>373</v>
      </c>
      <c r="F2533" s="71" t="s">
        <v>2510</v>
      </c>
      <c r="G2533" s="71" t="s">
        <v>3017</v>
      </c>
      <c r="H2533" s="71" t="s">
        <v>3083</v>
      </c>
      <c r="I2533" s="71" t="s">
        <v>3035</v>
      </c>
    </row>
    <row r="2534" spans="1:9" ht="43.5" x14ac:dyDescent="0.35">
      <c r="A2534" s="195">
        <v>18</v>
      </c>
      <c r="B2534" s="195">
        <v>25</v>
      </c>
      <c r="C2534" s="195" t="s">
        <v>3094</v>
      </c>
      <c r="D2534" s="64">
        <v>2170</v>
      </c>
      <c r="E2534" s="195" t="s">
        <v>373</v>
      </c>
      <c r="F2534" s="71" t="s">
        <v>508</v>
      </c>
      <c r="G2534" s="71" t="s">
        <v>3017</v>
      </c>
      <c r="H2534" s="71" t="s">
        <v>2491</v>
      </c>
      <c r="I2534" s="71" t="s">
        <v>3035</v>
      </c>
    </row>
    <row r="2535" spans="1:9" ht="29" x14ac:dyDescent="0.35">
      <c r="A2535" s="195">
        <v>18</v>
      </c>
      <c r="B2535" s="195">
        <v>26</v>
      </c>
      <c r="C2535" s="195" t="s">
        <v>3098</v>
      </c>
      <c r="D2535" s="64">
        <v>143785</v>
      </c>
      <c r="E2535" s="195" t="s">
        <v>373</v>
      </c>
      <c r="F2535" s="71" t="s">
        <v>3020</v>
      </c>
      <c r="G2535" s="71" t="s">
        <v>3017</v>
      </c>
      <c r="H2535" s="71" t="s">
        <v>3083</v>
      </c>
      <c r="I2535" s="71" t="s">
        <v>415</v>
      </c>
    </row>
    <row r="2536" spans="1:9" ht="29" x14ac:dyDescent="0.35">
      <c r="A2536" s="195">
        <v>18</v>
      </c>
      <c r="B2536" s="195">
        <v>26</v>
      </c>
      <c r="C2536" s="195" t="s">
        <v>3097</v>
      </c>
      <c r="D2536" s="64">
        <v>46475</v>
      </c>
      <c r="E2536" s="195" t="s">
        <v>373</v>
      </c>
      <c r="F2536" s="71" t="s">
        <v>2510</v>
      </c>
      <c r="G2536" s="71" t="s">
        <v>3017</v>
      </c>
      <c r="H2536" s="71" t="s">
        <v>3083</v>
      </c>
      <c r="I2536" s="71" t="s">
        <v>415</v>
      </c>
    </row>
    <row r="2537" spans="1:9" ht="29" x14ac:dyDescent="0.35">
      <c r="A2537" s="195">
        <v>18</v>
      </c>
      <c r="B2537" s="195">
        <v>26</v>
      </c>
      <c r="C2537" s="195" t="s">
        <v>3099</v>
      </c>
      <c r="D2537" s="64">
        <v>12120</v>
      </c>
      <c r="E2537" s="195" t="s">
        <v>373</v>
      </c>
      <c r="F2537" s="71" t="s">
        <v>508</v>
      </c>
      <c r="G2537" s="71" t="s">
        <v>3017</v>
      </c>
      <c r="H2537" s="71" t="s">
        <v>2491</v>
      </c>
      <c r="I2537" s="71" t="s">
        <v>415</v>
      </c>
    </row>
    <row r="2538" spans="1:9" ht="29" x14ac:dyDescent="0.35">
      <c r="A2538" s="195">
        <v>18</v>
      </c>
      <c r="B2538" s="195">
        <v>27</v>
      </c>
      <c r="C2538" s="195" t="s">
        <v>3103</v>
      </c>
      <c r="D2538" s="64">
        <v>76660</v>
      </c>
      <c r="E2538" s="195" t="s">
        <v>366</v>
      </c>
      <c r="F2538" s="71" t="s">
        <v>3020</v>
      </c>
      <c r="G2538" s="71" t="s">
        <v>3101</v>
      </c>
      <c r="H2538" s="71" t="s">
        <v>2502</v>
      </c>
      <c r="I2538" s="71" t="s">
        <v>363</v>
      </c>
    </row>
    <row r="2539" spans="1:9" ht="29" x14ac:dyDescent="0.35">
      <c r="A2539" s="195">
        <v>18</v>
      </c>
      <c r="B2539" s="195">
        <v>27</v>
      </c>
      <c r="C2539" s="195" t="s">
        <v>3100</v>
      </c>
      <c r="D2539" s="64">
        <v>38215</v>
      </c>
      <c r="E2539" s="195" t="s">
        <v>366</v>
      </c>
      <c r="F2539" s="71" t="s">
        <v>2510</v>
      </c>
      <c r="G2539" s="71" t="s">
        <v>3101</v>
      </c>
      <c r="H2539" s="71" t="s">
        <v>2502</v>
      </c>
      <c r="I2539" s="71" t="s">
        <v>363</v>
      </c>
    </row>
    <row r="2540" spans="1:9" ht="29" x14ac:dyDescent="0.35">
      <c r="A2540" s="195">
        <v>18</v>
      </c>
      <c r="B2540" s="195">
        <v>27</v>
      </c>
      <c r="C2540" s="195" t="s">
        <v>3102</v>
      </c>
      <c r="D2540" s="64">
        <v>263235</v>
      </c>
      <c r="E2540" s="195" t="s">
        <v>366</v>
      </c>
      <c r="F2540" s="71" t="s">
        <v>508</v>
      </c>
      <c r="G2540" s="71" t="s">
        <v>3101</v>
      </c>
      <c r="H2540" s="71" t="s">
        <v>2446</v>
      </c>
      <c r="I2540" s="71" t="s">
        <v>363</v>
      </c>
    </row>
    <row r="2541" spans="1:9" ht="29" x14ac:dyDescent="0.35">
      <c r="A2541" s="195">
        <v>18</v>
      </c>
      <c r="B2541" s="195">
        <v>28</v>
      </c>
      <c r="C2541" s="195" t="s">
        <v>3106</v>
      </c>
      <c r="D2541" s="64">
        <v>19855</v>
      </c>
      <c r="E2541" s="195" t="s">
        <v>366</v>
      </c>
      <c r="F2541" s="71" t="s">
        <v>3020</v>
      </c>
      <c r="G2541" s="71" t="s">
        <v>3101</v>
      </c>
      <c r="H2541" s="71" t="s">
        <v>3022</v>
      </c>
      <c r="I2541" s="71" t="s">
        <v>363</v>
      </c>
    </row>
    <row r="2542" spans="1:9" ht="29" x14ac:dyDescent="0.35">
      <c r="A2542" s="195">
        <v>18</v>
      </c>
      <c r="B2542" s="195">
        <v>28</v>
      </c>
      <c r="C2542" s="195" t="s">
        <v>3104</v>
      </c>
      <c r="D2542" s="64">
        <v>13510</v>
      </c>
      <c r="E2542" s="195" t="s">
        <v>366</v>
      </c>
      <c r="F2542" s="71" t="s">
        <v>2510</v>
      </c>
      <c r="G2542" s="71" t="s">
        <v>3101</v>
      </c>
      <c r="H2542" s="71" t="s">
        <v>3022</v>
      </c>
      <c r="I2542" s="71" t="s">
        <v>363</v>
      </c>
    </row>
    <row r="2543" spans="1:9" ht="29" x14ac:dyDescent="0.35">
      <c r="A2543" s="195">
        <v>18</v>
      </c>
      <c r="B2543" s="195">
        <v>28</v>
      </c>
      <c r="C2543" s="195" t="s">
        <v>3105</v>
      </c>
      <c r="D2543" s="64">
        <v>26415</v>
      </c>
      <c r="E2543" s="195" t="s">
        <v>366</v>
      </c>
      <c r="F2543" s="71" t="s">
        <v>508</v>
      </c>
      <c r="G2543" s="71" t="s">
        <v>3101</v>
      </c>
      <c r="H2543" s="71" t="s">
        <v>2456</v>
      </c>
      <c r="I2543" s="71" t="s">
        <v>363</v>
      </c>
    </row>
    <row r="2544" spans="1:9" ht="29" x14ac:dyDescent="0.35">
      <c r="A2544" s="195">
        <v>18</v>
      </c>
      <c r="B2544" s="195">
        <v>29</v>
      </c>
      <c r="C2544" s="195" t="s">
        <v>3109</v>
      </c>
      <c r="D2544" s="64">
        <v>2805</v>
      </c>
      <c r="E2544" s="195" t="s">
        <v>373</v>
      </c>
      <c r="F2544" s="71" t="s">
        <v>3020</v>
      </c>
      <c r="G2544" s="71" t="s">
        <v>3101</v>
      </c>
      <c r="H2544" s="71" t="s">
        <v>3022</v>
      </c>
      <c r="I2544" s="71" t="s">
        <v>371</v>
      </c>
    </row>
    <row r="2545" spans="1:9" ht="29" x14ac:dyDescent="0.35">
      <c r="A2545" s="195">
        <v>18</v>
      </c>
      <c r="B2545" s="195">
        <v>29</v>
      </c>
      <c r="C2545" s="195" t="s">
        <v>3108</v>
      </c>
      <c r="D2545" s="64">
        <v>3315</v>
      </c>
      <c r="E2545" s="195" t="s">
        <v>373</v>
      </c>
      <c r="F2545" s="71" t="s">
        <v>2510</v>
      </c>
      <c r="G2545" s="71" t="s">
        <v>3101</v>
      </c>
      <c r="H2545" s="71" t="s">
        <v>3022</v>
      </c>
      <c r="I2545" s="71" t="s">
        <v>371</v>
      </c>
    </row>
    <row r="2546" spans="1:9" ht="29" x14ac:dyDescent="0.35">
      <c r="A2546" s="195">
        <v>18</v>
      </c>
      <c r="B2546" s="195">
        <v>29</v>
      </c>
      <c r="C2546" s="195" t="s">
        <v>3107</v>
      </c>
      <c r="D2546" s="64">
        <v>14745</v>
      </c>
      <c r="E2546" s="195" t="s">
        <v>373</v>
      </c>
      <c r="F2546" s="71" t="s">
        <v>508</v>
      </c>
      <c r="G2546" s="71" t="s">
        <v>3101</v>
      </c>
      <c r="H2546" s="71" t="s">
        <v>2456</v>
      </c>
      <c r="I2546" s="71" t="s">
        <v>371</v>
      </c>
    </row>
    <row r="2547" spans="1:9" ht="43.5" x14ac:dyDescent="0.35">
      <c r="A2547" s="195">
        <v>18</v>
      </c>
      <c r="B2547" s="195">
        <v>30</v>
      </c>
      <c r="C2547" s="195" t="s">
        <v>3110</v>
      </c>
      <c r="D2547" s="64">
        <v>3310</v>
      </c>
      <c r="E2547" s="195" t="s">
        <v>373</v>
      </c>
      <c r="F2547" s="71" t="s">
        <v>3020</v>
      </c>
      <c r="G2547" s="71" t="s">
        <v>3101</v>
      </c>
      <c r="H2547" s="71" t="s">
        <v>3022</v>
      </c>
      <c r="I2547" s="71" t="s">
        <v>2805</v>
      </c>
    </row>
    <row r="2548" spans="1:9" ht="43.5" x14ac:dyDescent="0.35">
      <c r="A2548" s="195">
        <v>18</v>
      </c>
      <c r="B2548" s="195">
        <v>30</v>
      </c>
      <c r="C2548" s="195" t="s">
        <v>3112</v>
      </c>
      <c r="D2548" s="64">
        <v>2820</v>
      </c>
      <c r="E2548" s="195" t="s">
        <v>373</v>
      </c>
      <c r="F2548" s="71" t="s">
        <v>2510</v>
      </c>
      <c r="G2548" s="71" t="s">
        <v>3101</v>
      </c>
      <c r="H2548" s="71" t="s">
        <v>3022</v>
      </c>
      <c r="I2548" s="71" t="s">
        <v>2805</v>
      </c>
    </row>
    <row r="2549" spans="1:9" ht="43.5" x14ac:dyDescent="0.35">
      <c r="A2549" s="195">
        <v>18</v>
      </c>
      <c r="B2549" s="195">
        <v>30</v>
      </c>
      <c r="C2549" s="195" t="s">
        <v>3111</v>
      </c>
      <c r="D2549" s="64">
        <v>4800</v>
      </c>
      <c r="E2549" s="195" t="s">
        <v>373</v>
      </c>
      <c r="F2549" s="71" t="s">
        <v>508</v>
      </c>
      <c r="G2549" s="71" t="s">
        <v>3101</v>
      </c>
      <c r="H2549" s="71" t="s">
        <v>2456</v>
      </c>
      <c r="I2549" s="71" t="s">
        <v>2805</v>
      </c>
    </row>
    <row r="2550" spans="1:9" ht="43.5" x14ac:dyDescent="0.35">
      <c r="A2550" s="195">
        <v>18</v>
      </c>
      <c r="B2550" s="195">
        <v>31</v>
      </c>
      <c r="C2550" s="195" t="s">
        <v>3115</v>
      </c>
      <c r="D2550" s="64">
        <v>4975</v>
      </c>
      <c r="E2550" s="195" t="s">
        <v>373</v>
      </c>
      <c r="F2550" s="71" t="s">
        <v>3020</v>
      </c>
      <c r="G2550" s="71" t="s">
        <v>3101</v>
      </c>
      <c r="H2550" s="71" t="s">
        <v>3022</v>
      </c>
      <c r="I2550" s="71" t="s">
        <v>2827</v>
      </c>
    </row>
    <row r="2551" spans="1:9" ht="43.5" x14ac:dyDescent="0.35">
      <c r="A2551" s="195">
        <v>18</v>
      </c>
      <c r="B2551" s="195">
        <v>31</v>
      </c>
      <c r="C2551" s="195" t="s">
        <v>3113</v>
      </c>
      <c r="D2551" s="64">
        <v>3320</v>
      </c>
      <c r="E2551" s="195" t="s">
        <v>373</v>
      </c>
      <c r="F2551" s="71" t="s">
        <v>2510</v>
      </c>
      <c r="G2551" s="71" t="s">
        <v>3101</v>
      </c>
      <c r="H2551" s="71" t="s">
        <v>3022</v>
      </c>
      <c r="I2551" s="71" t="s">
        <v>2827</v>
      </c>
    </row>
    <row r="2552" spans="1:9" ht="43.5" x14ac:dyDescent="0.35">
      <c r="A2552" s="195">
        <v>18</v>
      </c>
      <c r="B2552" s="195">
        <v>31</v>
      </c>
      <c r="C2552" s="195" t="s">
        <v>3114</v>
      </c>
      <c r="D2552" s="64">
        <v>3335</v>
      </c>
      <c r="E2552" s="195" t="s">
        <v>373</v>
      </c>
      <c r="F2552" s="71" t="s">
        <v>508</v>
      </c>
      <c r="G2552" s="71" t="s">
        <v>3101</v>
      </c>
      <c r="H2552" s="71" t="s">
        <v>2456</v>
      </c>
      <c r="I2552" s="71" t="s">
        <v>2827</v>
      </c>
    </row>
    <row r="2553" spans="1:9" ht="43.5" x14ac:dyDescent="0.35">
      <c r="A2553" s="195">
        <v>18</v>
      </c>
      <c r="B2553" s="195">
        <v>32</v>
      </c>
      <c r="C2553" s="195" t="s">
        <v>3117</v>
      </c>
      <c r="D2553" s="64">
        <v>2740</v>
      </c>
      <c r="E2553" s="195" t="s">
        <v>373</v>
      </c>
      <c r="F2553" s="71" t="s">
        <v>3020</v>
      </c>
      <c r="G2553" s="71" t="s">
        <v>3101</v>
      </c>
      <c r="H2553" s="71" t="s">
        <v>3022</v>
      </c>
      <c r="I2553" s="71" t="s">
        <v>3035</v>
      </c>
    </row>
    <row r="2554" spans="1:9" ht="43.5" x14ac:dyDescent="0.35">
      <c r="A2554" s="195">
        <v>18</v>
      </c>
      <c r="B2554" s="195">
        <v>32</v>
      </c>
      <c r="C2554" s="195" t="s">
        <v>3116</v>
      </c>
      <c r="D2554" s="64">
        <v>1415</v>
      </c>
      <c r="E2554" s="195" t="s">
        <v>373</v>
      </c>
      <c r="F2554" s="71" t="s">
        <v>2510</v>
      </c>
      <c r="G2554" s="71" t="s">
        <v>3101</v>
      </c>
      <c r="H2554" s="71" t="s">
        <v>3022</v>
      </c>
      <c r="I2554" s="71" t="s">
        <v>3035</v>
      </c>
    </row>
    <row r="2555" spans="1:9" ht="43.5" x14ac:dyDescent="0.35">
      <c r="A2555" s="195">
        <v>18</v>
      </c>
      <c r="B2555" s="195">
        <v>32</v>
      </c>
      <c r="C2555" s="195" t="s">
        <v>3118</v>
      </c>
      <c r="D2555" s="64">
        <v>1135</v>
      </c>
      <c r="E2555" s="195" t="s">
        <v>373</v>
      </c>
      <c r="F2555" s="71" t="s">
        <v>508</v>
      </c>
      <c r="G2555" s="71" t="s">
        <v>3101</v>
      </c>
      <c r="H2555" s="71" t="s">
        <v>2456</v>
      </c>
      <c r="I2555" s="71" t="s">
        <v>3035</v>
      </c>
    </row>
    <row r="2556" spans="1:9" ht="29" x14ac:dyDescent="0.35">
      <c r="A2556" s="195">
        <v>18</v>
      </c>
      <c r="B2556" s="195">
        <v>33</v>
      </c>
      <c r="C2556" s="195" t="s">
        <v>3119</v>
      </c>
      <c r="D2556" s="64">
        <v>6025</v>
      </c>
      <c r="E2556" s="195" t="s">
        <v>373</v>
      </c>
      <c r="F2556" s="71" t="s">
        <v>3020</v>
      </c>
      <c r="G2556" s="71" t="s">
        <v>3101</v>
      </c>
      <c r="H2556" s="71" t="s">
        <v>3022</v>
      </c>
      <c r="I2556" s="71" t="s">
        <v>415</v>
      </c>
    </row>
    <row r="2557" spans="1:9" ht="29" x14ac:dyDescent="0.35">
      <c r="A2557" s="195">
        <v>18</v>
      </c>
      <c r="B2557" s="195">
        <v>33</v>
      </c>
      <c r="C2557" s="195" t="s">
        <v>3120</v>
      </c>
      <c r="D2557" s="64">
        <v>2640</v>
      </c>
      <c r="E2557" s="195" t="s">
        <v>373</v>
      </c>
      <c r="F2557" s="71" t="s">
        <v>2510</v>
      </c>
      <c r="G2557" s="71" t="s">
        <v>3101</v>
      </c>
      <c r="H2557" s="71" t="s">
        <v>3022</v>
      </c>
      <c r="I2557" s="71" t="s">
        <v>415</v>
      </c>
    </row>
    <row r="2558" spans="1:9" ht="29" x14ac:dyDescent="0.35">
      <c r="A2558" s="195">
        <v>18</v>
      </c>
      <c r="B2558" s="195">
        <v>33</v>
      </c>
      <c r="C2558" s="195" t="s">
        <v>3121</v>
      </c>
      <c r="D2558" s="64">
        <v>2400</v>
      </c>
      <c r="E2558" s="195" t="s">
        <v>373</v>
      </c>
      <c r="F2558" s="71" t="s">
        <v>508</v>
      </c>
      <c r="G2558" s="71" t="s">
        <v>3101</v>
      </c>
      <c r="H2558" s="71" t="s">
        <v>2456</v>
      </c>
      <c r="I2558" s="71" t="s">
        <v>415</v>
      </c>
    </row>
    <row r="2559" spans="1:9" ht="43.5" x14ac:dyDescent="0.35">
      <c r="A2559" s="195">
        <v>18</v>
      </c>
      <c r="B2559" s="195">
        <v>34</v>
      </c>
      <c r="C2559" s="195" t="s">
        <v>3122</v>
      </c>
      <c r="D2559" s="64">
        <v>22670</v>
      </c>
      <c r="E2559" s="195" t="s">
        <v>366</v>
      </c>
      <c r="F2559" s="71" t="s">
        <v>3020</v>
      </c>
      <c r="G2559" s="71" t="s">
        <v>3101</v>
      </c>
      <c r="H2559" s="71" t="s">
        <v>3044</v>
      </c>
      <c r="I2559" s="71" t="s">
        <v>363</v>
      </c>
    </row>
    <row r="2560" spans="1:9" ht="43.5" x14ac:dyDescent="0.35">
      <c r="A2560" s="195">
        <v>18</v>
      </c>
      <c r="B2560" s="195">
        <v>34</v>
      </c>
      <c r="C2560" s="195" t="s">
        <v>3123</v>
      </c>
      <c r="D2560" s="64">
        <v>10480</v>
      </c>
      <c r="E2560" s="195" t="s">
        <v>366</v>
      </c>
      <c r="F2560" s="71" t="s">
        <v>2510</v>
      </c>
      <c r="G2560" s="71" t="s">
        <v>3101</v>
      </c>
      <c r="H2560" s="71" t="s">
        <v>3044</v>
      </c>
      <c r="I2560" s="71" t="s">
        <v>363</v>
      </c>
    </row>
    <row r="2561" spans="1:9" ht="29" x14ac:dyDescent="0.35">
      <c r="A2561" s="195">
        <v>18</v>
      </c>
      <c r="B2561" s="195">
        <v>34</v>
      </c>
      <c r="C2561" s="195" t="s">
        <v>3124</v>
      </c>
      <c r="D2561" s="64">
        <v>102220</v>
      </c>
      <c r="E2561" s="195" t="s">
        <v>366</v>
      </c>
      <c r="F2561" s="71" t="s">
        <v>508</v>
      </c>
      <c r="G2561" s="71" t="s">
        <v>3101</v>
      </c>
      <c r="H2561" s="71" t="s">
        <v>3042</v>
      </c>
      <c r="I2561" s="71" t="s">
        <v>363</v>
      </c>
    </row>
    <row r="2562" spans="1:9" ht="43.5" x14ac:dyDescent="0.35">
      <c r="A2562" s="195">
        <v>18</v>
      </c>
      <c r="B2562" s="195">
        <v>35</v>
      </c>
      <c r="C2562" s="195" t="s">
        <v>3125</v>
      </c>
      <c r="D2562" s="64">
        <v>2170</v>
      </c>
      <c r="E2562" s="195" t="s">
        <v>373</v>
      </c>
      <c r="F2562" s="71" t="s">
        <v>3020</v>
      </c>
      <c r="G2562" s="71" t="s">
        <v>3101</v>
      </c>
      <c r="H2562" s="71" t="s">
        <v>3044</v>
      </c>
      <c r="I2562" s="71" t="s">
        <v>371</v>
      </c>
    </row>
    <row r="2563" spans="1:9" ht="43.5" x14ac:dyDescent="0.35">
      <c r="A2563" s="195">
        <v>18</v>
      </c>
      <c r="B2563" s="195">
        <v>35</v>
      </c>
      <c r="C2563" s="195" t="s">
        <v>3126</v>
      </c>
      <c r="D2563" s="64">
        <v>2105</v>
      </c>
      <c r="E2563" s="195" t="s">
        <v>373</v>
      </c>
      <c r="F2563" s="71" t="s">
        <v>2510</v>
      </c>
      <c r="G2563" s="71" t="s">
        <v>3101</v>
      </c>
      <c r="H2563" s="71" t="s">
        <v>3044</v>
      </c>
      <c r="I2563" s="71" t="s">
        <v>371</v>
      </c>
    </row>
    <row r="2564" spans="1:9" ht="29" x14ac:dyDescent="0.35">
      <c r="A2564" s="195">
        <v>18</v>
      </c>
      <c r="B2564" s="195">
        <v>35</v>
      </c>
      <c r="C2564" s="195" t="s">
        <v>3127</v>
      </c>
      <c r="D2564" s="64">
        <v>36790</v>
      </c>
      <c r="E2564" s="195" t="s">
        <v>373</v>
      </c>
      <c r="F2564" s="71" t="s">
        <v>508</v>
      </c>
      <c r="G2564" s="71" t="s">
        <v>3101</v>
      </c>
      <c r="H2564" s="71" t="s">
        <v>3042</v>
      </c>
      <c r="I2564" s="71" t="s">
        <v>371</v>
      </c>
    </row>
    <row r="2565" spans="1:9" ht="43.5" x14ac:dyDescent="0.35">
      <c r="A2565" s="195">
        <v>18</v>
      </c>
      <c r="B2565" s="195">
        <v>36</v>
      </c>
      <c r="C2565" s="195" t="s">
        <v>3129</v>
      </c>
      <c r="D2565" s="64">
        <v>3370</v>
      </c>
      <c r="E2565" s="195" t="s">
        <v>373</v>
      </c>
      <c r="F2565" s="71" t="s">
        <v>3020</v>
      </c>
      <c r="G2565" s="71" t="s">
        <v>3101</v>
      </c>
      <c r="H2565" s="71" t="s">
        <v>3044</v>
      </c>
      <c r="I2565" s="71" t="s">
        <v>2805</v>
      </c>
    </row>
    <row r="2566" spans="1:9" ht="43.5" x14ac:dyDescent="0.35">
      <c r="A2566" s="195">
        <v>18</v>
      </c>
      <c r="B2566" s="195">
        <v>36</v>
      </c>
      <c r="C2566" s="195" t="s">
        <v>3128</v>
      </c>
      <c r="D2566" s="64">
        <v>1930</v>
      </c>
      <c r="E2566" s="195" t="s">
        <v>373</v>
      </c>
      <c r="F2566" s="71" t="s">
        <v>2510</v>
      </c>
      <c r="G2566" s="71" t="s">
        <v>3101</v>
      </c>
      <c r="H2566" s="71" t="s">
        <v>3044</v>
      </c>
      <c r="I2566" s="71" t="s">
        <v>2805</v>
      </c>
    </row>
    <row r="2567" spans="1:9" ht="43.5" x14ac:dyDescent="0.35">
      <c r="A2567" s="195">
        <v>18</v>
      </c>
      <c r="B2567" s="195">
        <v>36</v>
      </c>
      <c r="C2567" s="195" t="s">
        <v>3130</v>
      </c>
      <c r="D2567" s="64">
        <v>25670</v>
      </c>
      <c r="E2567" s="195" t="s">
        <v>373</v>
      </c>
      <c r="F2567" s="71" t="s">
        <v>508</v>
      </c>
      <c r="G2567" s="71" t="s">
        <v>3101</v>
      </c>
      <c r="H2567" s="71" t="s">
        <v>3042</v>
      </c>
      <c r="I2567" s="71" t="s">
        <v>2805</v>
      </c>
    </row>
    <row r="2568" spans="1:9" ht="43.5" x14ac:dyDescent="0.35">
      <c r="A2568" s="195">
        <v>18</v>
      </c>
      <c r="B2568" s="195">
        <v>37</v>
      </c>
      <c r="C2568" s="195" t="s">
        <v>3131</v>
      </c>
      <c r="D2568" s="64">
        <v>4865</v>
      </c>
      <c r="E2568" s="195" t="s">
        <v>373</v>
      </c>
      <c r="F2568" s="71" t="s">
        <v>3020</v>
      </c>
      <c r="G2568" s="71" t="s">
        <v>3101</v>
      </c>
      <c r="H2568" s="71" t="s">
        <v>3044</v>
      </c>
      <c r="I2568" s="71" t="s">
        <v>2827</v>
      </c>
    </row>
    <row r="2569" spans="1:9" ht="43.5" x14ac:dyDescent="0.35">
      <c r="A2569" s="195">
        <v>18</v>
      </c>
      <c r="B2569" s="195">
        <v>37</v>
      </c>
      <c r="C2569" s="195" t="s">
        <v>3132</v>
      </c>
      <c r="D2569" s="64">
        <v>2565</v>
      </c>
      <c r="E2569" s="195" t="s">
        <v>373</v>
      </c>
      <c r="F2569" s="71" t="s">
        <v>2510</v>
      </c>
      <c r="G2569" s="71" t="s">
        <v>3101</v>
      </c>
      <c r="H2569" s="71" t="s">
        <v>3044</v>
      </c>
      <c r="I2569" s="71" t="s">
        <v>2827</v>
      </c>
    </row>
    <row r="2570" spans="1:9" ht="43.5" x14ac:dyDescent="0.35">
      <c r="A2570" s="195">
        <v>18</v>
      </c>
      <c r="B2570" s="195">
        <v>37</v>
      </c>
      <c r="C2570" s="195" t="s">
        <v>3133</v>
      </c>
      <c r="D2570" s="64">
        <v>22405</v>
      </c>
      <c r="E2570" s="195" t="s">
        <v>373</v>
      </c>
      <c r="F2570" s="71" t="s">
        <v>508</v>
      </c>
      <c r="G2570" s="71" t="s">
        <v>3101</v>
      </c>
      <c r="H2570" s="71" t="s">
        <v>3042</v>
      </c>
      <c r="I2570" s="71" t="s">
        <v>2827</v>
      </c>
    </row>
    <row r="2571" spans="1:9" ht="43.5" x14ac:dyDescent="0.35">
      <c r="A2571" s="195">
        <v>18</v>
      </c>
      <c r="B2571" s="195">
        <v>38</v>
      </c>
      <c r="C2571" s="195" t="s">
        <v>3136</v>
      </c>
      <c r="D2571" s="64">
        <v>3160</v>
      </c>
      <c r="E2571" s="195" t="s">
        <v>373</v>
      </c>
      <c r="F2571" s="71" t="s">
        <v>3020</v>
      </c>
      <c r="G2571" s="71" t="s">
        <v>3101</v>
      </c>
      <c r="H2571" s="71" t="s">
        <v>3044</v>
      </c>
      <c r="I2571" s="71" t="s">
        <v>3035</v>
      </c>
    </row>
    <row r="2572" spans="1:9" ht="43.5" x14ac:dyDescent="0.35">
      <c r="A2572" s="195">
        <v>18</v>
      </c>
      <c r="B2572" s="195">
        <v>38</v>
      </c>
      <c r="C2572" s="195" t="s">
        <v>3135</v>
      </c>
      <c r="D2572" s="64">
        <v>1200</v>
      </c>
      <c r="E2572" s="195" t="s">
        <v>373</v>
      </c>
      <c r="F2572" s="71" t="s">
        <v>2510</v>
      </c>
      <c r="G2572" s="71" t="s">
        <v>3101</v>
      </c>
      <c r="H2572" s="71" t="s">
        <v>3044</v>
      </c>
      <c r="I2572" s="71" t="s">
        <v>3035</v>
      </c>
    </row>
    <row r="2573" spans="1:9" ht="43.5" x14ac:dyDescent="0.35">
      <c r="A2573" s="195">
        <v>18</v>
      </c>
      <c r="B2573" s="195">
        <v>38</v>
      </c>
      <c r="C2573" s="195" t="s">
        <v>3134</v>
      </c>
      <c r="D2573" s="64">
        <v>7015</v>
      </c>
      <c r="E2573" s="195" t="s">
        <v>373</v>
      </c>
      <c r="F2573" s="71" t="s">
        <v>508</v>
      </c>
      <c r="G2573" s="71" t="s">
        <v>3101</v>
      </c>
      <c r="H2573" s="71" t="s">
        <v>3042</v>
      </c>
      <c r="I2573" s="71" t="s">
        <v>3035</v>
      </c>
    </row>
    <row r="2574" spans="1:9" ht="43.5" x14ac:dyDescent="0.35">
      <c r="A2574" s="195">
        <v>18</v>
      </c>
      <c r="B2574" s="195">
        <v>39</v>
      </c>
      <c r="C2574" s="195" t="s">
        <v>3137</v>
      </c>
      <c r="D2574" s="64">
        <v>9100</v>
      </c>
      <c r="E2574" s="195" t="s">
        <v>373</v>
      </c>
      <c r="F2574" s="71" t="s">
        <v>3020</v>
      </c>
      <c r="G2574" s="71" t="s">
        <v>3101</v>
      </c>
      <c r="H2574" s="71" t="s">
        <v>3044</v>
      </c>
      <c r="I2574" s="71" t="s">
        <v>415</v>
      </c>
    </row>
    <row r="2575" spans="1:9" ht="43.5" x14ac:dyDescent="0.35">
      <c r="A2575" s="195">
        <v>18</v>
      </c>
      <c r="B2575" s="195">
        <v>39</v>
      </c>
      <c r="C2575" s="195" t="s">
        <v>3139</v>
      </c>
      <c r="D2575" s="64">
        <v>2680</v>
      </c>
      <c r="E2575" s="195" t="s">
        <v>373</v>
      </c>
      <c r="F2575" s="71" t="s">
        <v>2510</v>
      </c>
      <c r="G2575" s="71" t="s">
        <v>3101</v>
      </c>
      <c r="H2575" s="71" t="s">
        <v>3044</v>
      </c>
      <c r="I2575" s="71" t="s">
        <v>415</v>
      </c>
    </row>
    <row r="2576" spans="1:9" ht="29" x14ac:dyDescent="0.35">
      <c r="A2576" s="195">
        <v>18</v>
      </c>
      <c r="B2576" s="195">
        <v>39</v>
      </c>
      <c r="C2576" s="195" t="s">
        <v>3138</v>
      </c>
      <c r="D2576" s="64">
        <v>10345</v>
      </c>
      <c r="E2576" s="195" t="s">
        <v>373</v>
      </c>
      <c r="F2576" s="71" t="s">
        <v>508</v>
      </c>
      <c r="G2576" s="71" t="s">
        <v>3101</v>
      </c>
      <c r="H2576" s="71" t="s">
        <v>3042</v>
      </c>
      <c r="I2576" s="71" t="s">
        <v>415</v>
      </c>
    </row>
    <row r="2577" spans="1:9" ht="43.5" x14ac:dyDescent="0.35">
      <c r="A2577" s="195">
        <v>18</v>
      </c>
      <c r="B2577" s="195">
        <v>40</v>
      </c>
      <c r="C2577" s="195" t="s">
        <v>3141</v>
      </c>
      <c r="D2577" s="64">
        <v>8165</v>
      </c>
      <c r="E2577" s="195" t="s">
        <v>366</v>
      </c>
      <c r="F2577" s="71" t="s">
        <v>3020</v>
      </c>
      <c r="G2577" s="71" t="s">
        <v>3101</v>
      </c>
      <c r="H2577" s="71" t="s">
        <v>3064</v>
      </c>
      <c r="I2577" s="71" t="s">
        <v>363</v>
      </c>
    </row>
    <row r="2578" spans="1:9" ht="43.5" x14ac:dyDescent="0.35">
      <c r="A2578" s="195">
        <v>18</v>
      </c>
      <c r="B2578" s="195">
        <v>40</v>
      </c>
      <c r="C2578" s="195" t="s">
        <v>3142</v>
      </c>
      <c r="D2578" s="64">
        <v>3685</v>
      </c>
      <c r="E2578" s="195" t="s">
        <v>366</v>
      </c>
      <c r="F2578" s="71" t="s">
        <v>2510</v>
      </c>
      <c r="G2578" s="71" t="s">
        <v>3101</v>
      </c>
      <c r="H2578" s="71" t="s">
        <v>3064</v>
      </c>
      <c r="I2578" s="71" t="s">
        <v>363</v>
      </c>
    </row>
    <row r="2579" spans="1:9" ht="29" x14ac:dyDescent="0.35">
      <c r="A2579" s="195">
        <v>18</v>
      </c>
      <c r="B2579" s="195">
        <v>40</v>
      </c>
      <c r="C2579" s="195" t="s">
        <v>3140</v>
      </c>
      <c r="D2579" s="64">
        <v>107210</v>
      </c>
      <c r="E2579" s="195" t="s">
        <v>366</v>
      </c>
      <c r="F2579" s="71" t="s">
        <v>508</v>
      </c>
      <c r="G2579" s="71" t="s">
        <v>3101</v>
      </c>
      <c r="H2579" s="71" t="s">
        <v>3062</v>
      </c>
      <c r="I2579" s="71" t="s">
        <v>363</v>
      </c>
    </row>
    <row r="2580" spans="1:9" ht="43.5" x14ac:dyDescent="0.35">
      <c r="A2580" s="195">
        <v>18</v>
      </c>
      <c r="B2580" s="195">
        <v>41</v>
      </c>
      <c r="C2580" s="195" t="s">
        <v>3143</v>
      </c>
      <c r="D2580" s="195">
        <v>620</v>
      </c>
      <c r="E2580" s="195" t="s">
        <v>373</v>
      </c>
      <c r="F2580" s="71" t="s">
        <v>3020</v>
      </c>
      <c r="G2580" s="71" t="s">
        <v>3101</v>
      </c>
      <c r="H2580" s="71" t="s">
        <v>3064</v>
      </c>
      <c r="I2580" s="71" t="s">
        <v>371</v>
      </c>
    </row>
    <row r="2581" spans="1:9" ht="43.5" x14ac:dyDescent="0.35">
      <c r="A2581" s="195">
        <v>18</v>
      </c>
      <c r="B2581" s="195">
        <v>41</v>
      </c>
      <c r="C2581" s="195" t="s">
        <v>3144</v>
      </c>
      <c r="D2581" s="195">
        <v>690</v>
      </c>
      <c r="E2581" s="195" t="s">
        <v>373</v>
      </c>
      <c r="F2581" s="71" t="s">
        <v>2510</v>
      </c>
      <c r="G2581" s="71" t="s">
        <v>3101</v>
      </c>
      <c r="H2581" s="71" t="s">
        <v>3064</v>
      </c>
      <c r="I2581" s="71" t="s">
        <v>371</v>
      </c>
    </row>
    <row r="2582" spans="1:9" ht="29" x14ac:dyDescent="0.35">
      <c r="A2582" s="195">
        <v>18</v>
      </c>
      <c r="B2582" s="195">
        <v>41</v>
      </c>
      <c r="C2582" s="195" t="s">
        <v>3145</v>
      </c>
      <c r="D2582" s="64">
        <v>25985</v>
      </c>
      <c r="E2582" s="195" t="s">
        <v>373</v>
      </c>
      <c r="F2582" s="71" t="s">
        <v>508</v>
      </c>
      <c r="G2582" s="71" t="s">
        <v>3101</v>
      </c>
      <c r="H2582" s="71" t="s">
        <v>3062</v>
      </c>
      <c r="I2582" s="71" t="s">
        <v>371</v>
      </c>
    </row>
    <row r="2583" spans="1:9" ht="43.5" x14ac:dyDescent="0.35">
      <c r="A2583" s="195">
        <v>18</v>
      </c>
      <c r="B2583" s="195">
        <v>42</v>
      </c>
      <c r="C2583" s="195" t="s">
        <v>3147</v>
      </c>
      <c r="D2583" s="195">
        <v>985</v>
      </c>
      <c r="E2583" s="195" t="s">
        <v>373</v>
      </c>
      <c r="F2583" s="71" t="s">
        <v>3020</v>
      </c>
      <c r="G2583" s="71" t="s">
        <v>3101</v>
      </c>
      <c r="H2583" s="71" t="s">
        <v>3064</v>
      </c>
      <c r="I2583" s="71" t="s">
        <v>2805</v>
      </c>
    </row>
    <row r="2584" spans="1:9" ht="43.5" x14ac:dyDescent="0.35">
      <c r="A2584" s="195">
        <v>18</v>
      </c>
      <c r="B2584" s="195">
        <v>42</v>
      </c>
      <c r="C2584" s="195" t="s">
        <v>3146</v>
      </c>
      <c r="D2584" s="195">
        <v>750</v>
      </c>
      <c r="E2584" s="195" t="s">
        <v>373</v>
      </c>
      <c r="F2584" s="71" t="s">
        <v>2510</v>
      </c>
      <c r="G2584" s="71" t="s">
        <v>3101</v>
      </c>
      <c r="H2584" s="71" t="s">
        <v>3064</v>
      </c>
      <c r="I2584" s="71" t="s">
        <v>2805</v>
      </c>
    </row>
    <row r="2585" spans="1:9" ht="43.5" x14ac:dyDescent="0.35">
      <c r="A2585" s="195">
        <v>18</v>
      </c>
      <c r="B2585" s="195">
        <v>42</v>
      </c>
      <c r="C2585" s="195" t="s">
        <v>3148</v>
      </c>
      <c r="D2585" s="64">
        <v>19915</v>
      </c>
      <c r="E2585" s="195" t="s">
        <v>373</v>
      </c>
      <c r="F2585" s="71" t="s">
        <v>508</v>
      </c>
      <c r="G2585" s="71" t="s">
        <v>3101</v>
      </c>
      <c r="H2585" s="71" t="s">
        <v>3062</v>
      </c>
      <c r="I2585" s="71" t="s">
        <v>2805</v>
      </c>
    </row>
    <row r="2586" spans="1:9" ht="43.5" x14ac:dyDescent="0.35">
      <c r="A2586" s="195">
        <v>18</v>
      </c>
      <c r="B2586" s="195">
        <v>43</v>
      </c>
      <c r="C2586" s="195" t="s">
        <v>3150</v>
      </c>
      <c r="D2586" s="64">
        <v>1690</v>
      </c>
      <c r="E2586" s="195" t="s">
        <v>373</v>
      </c>
      <c r="F2586" s="71" t="s">
        <v>3020</v>
      </c>
      <c r="G2586" s="71" t="s">
        <v>3101</v>
      </c>
      <c r="H2586" s="71" t="s">
        <v>3064</v>
      </c>
      <c r="I2586" s="71" t="s">
        <v>2827</v>
      </c>
    </row>
    <row r="2587" spans="1:9" ht="43.5" x14ac:dyDescent="0.35">
      <c r="A2587" s="195">
        <v>18</v>
      </c>
      <c r="B2587" s="195">
        <v>43</v>
      </c>
      <c r="C2587" s="195" t="s">
        <v>3151</v>
      </c>
      <c r="D2587" s="195">
        <v>835</v>
      </c>
      <c r="E2587" s="195" t="s">
        <v>373</v>
      </c>
      <c r="F2587" s="71" t="s">
        <v>2510</v>
      </c>
      <c r="G2587" s="71" t="s">
        <v>3101</v>
      </c>
      <c r="H2587" s="71" t="s">
        <v>3064</v>
      </c>
      <c r="I2587" s="71" t="s">
        <v>2827</v>
      </c>
    </row>
    <row r="2588" spans="1:9" ht="43.5" x14ac:dyDescent="0.35">
      <c r="A2588" s="195">
        <v>18</v>
      </c>
      <c r="B2588" s="195">
        <v>43</v>
      </c>
      <c r="C2588" s="195" t="s">
        <v>3149</v>
      </c>
      <c r="D2588" s="64">
        <v>22580</v>
      </c>
      <c r="E2588" s="195" t="s">
        <v>373</v>
      </c>
      <c r="F2588" s="71" t="s">
        <v>508</v>
      </c>
      <c r="G2588" s="71" t="s">
        <v>3101</v>
      </c>
      <c r="H2588" s="71" t="s">
        <v>3062</v>
      </c>
      <c r="I2588" s="71" t="s">
        <v>2827</v>
      </c>
    </row>
    <row r="2589" spans="1:9" ht="43.5" x14ac:dyDescent="0.35">
      <c r="A2589" s="195">
        <v>18</v>
      </c>
      <c r="B2589" s="195">
        <v>44</v>
      </c>
      <c r="C2589" s="195" t="s">
        <v>3154</v>
      </c>
      <c r="D2589" s="64">
        <v>1170</v>
      </c>
      <c r="E2589" s="195" t="s">
        <v>373</v>
      </c>
      <c r="F2589" s="71" t="s">
        <v>3020</v>
      </c>
      <c r="G2589" s="71" t="s">
        <v>3101</v>
      </c>
      <c r="H2589" s="71" t="s">
        <v>3064</v>
      </c>
      <c r="I2589" s="71" t="s">
        <v>3035</v>
      </c>
    </row>
    <row r="2590" spans="1:9" ht="43.5" x14ac:dyDescent="0.35">
      <c r="A2590" s="195">
        <v>18</v>
      </c>
      <c r="B2590" s="195">
        <v>44</v>
      </c>
      <c r="C2590" s="195" t="s">
        <v>3152</v>
      </c>
      <c r="D2590" s="195">
        <v>245</v>
      </c>
      <c r="E2590" s="195" t="s">
        <v>373</v>
      </c>
      <c r="F2590" s="71" t="s">
        <v>2510</v>
      </c>
      <c r="G2590" s="71" t="s">
        <v>3101</v>
      </c>
      <c r="H2590" s="71" t="s">
        <v>3064</v>
      </c>
      <c r="I2590" s="71" t="s">
        <v>3035</v>
      </c>
    </row>
    <row r="2591" spans="1:9" ht="43.5" x14ac:dyDescent="0.35">
      <c r="A2591" s="195">
        <v>18</v>
      </c>
      <c r="B2591" s="195">
        <v>44</v>
      </c>
      <c r="C2591" s="195" t="s">
        <v>3153</v>
      </c>
      <c r="D2591" s="64">
        <v>11765</v>
      </c>
      <c r="E2591" s="195" t="s">
        <v>373</v>
      </c>
      <c r="F2591" s="71" t="s">
        <v>508</v>
      </c>
      <c r="G2591" s="71" t="s">
        <v>3101</v>
      </c>
      <c r="H2591" s="71" t="s">
        <v>3062</v>
      </c>
      <c r="I2591" s="71" t="s">
        <v>3035</v>
      </c>
    </row>
    <row r="2592" spans="1:9" ht="43.5" x14ac:dyDescent="0.35">
      <c r="A2592" s="195">
        <v>18</v>
      </c>
      <c r="B2592" s="195">
        <v>45</v>
      </c>
      <c r="C2592" s="195" t="s">
        <v>3156</v>
      </c>
      <c r="D2592" s="64">
        <v>3700</v>
      </c>
      <c r="E2592" s="195" t="s">
        <v>373</v>
      </c>
      <c r="F2592" s="71" t="s">
        <v>3020</v>
      </c>
      <c r="G2592" s="71" t="s">
        <v>3101</v>
      </c>
      <c r="H2592" s="71" t="s">
        <v>3064</v>
      </c>
      <c r="I2592" s="71" t="s">
        <v>415</v>
      </c>
    </row>
    <row r="2593" spans="1:9" ht="43.5" x14ac:dyDescent="0.35">
      <c r="A2593" s="195">
        <v>18</v>
      </c>
      <c r="B2593" s="195">
        <v>45</v>
      </c>
      <c r="C2593" s="195" t="s">
        <v>3155</v>
      </c>
      <c r="D2593" s="64">
        <v>1165</v>
      </c>
      <c r="E2593" s="195" t="s">
        <v>373</v>
      </c>
      <c r="F2593" s="71" t="s">
        <v>2510</v>
      </c>
      <c r="G2593" s="71" t="s">
        <v>3101</v>
      </c>
      <c r="H2593" s="71" t="s">
        <v>3064</v>
      </c>
      <c r="I2593" s="71" t="s">
        <v>415</v>
      </c>
    </row>
    <row r="2594" spans="1:9" ht="29" x14ac:dyDescent="0.35">
      <c r="A2594" s="195">
        <v>18</v>
      </c>
      <c r="B2594" s="195">
        <v>45</v>
      </c>
      <c r="C2594" s="195" t="s">
        <v>3157</v>
      </c>
      <c r="D2594" s="64">
        <v>26960</v>
      </c>
      <c r="E2594" s="195" t="s">
        <v>373</v>
      </c>
      <c r="F2594" s="71" t="s">
        <v>508</v>
      </c>
      <c r="G2594" s="71" t="s">
        <v>3101</v>
      </c>
      <c r="H2594" s="71" t="s">
        <v>3062</v>
      </c>
      <c r="I2594" s="71" t="s">
        <v>415</v>
      </c>
    </row>
    <row r="2595" spans="1:9" ht="29" x14ac:dyDescent="0.35">
      <c r="A2595" s="195">
        <v>18</v>
      </c>
      <c r="B2595" s="195">
        <v>46</v>
      </c>
      <c r="C2595" s="195" t="s">
        <v>3160</v>
      </c>
      <c r="D2595" s="64">
        <v>25970</v>
      </c>
      <c r="E2595" s="195" t="s">
        <v>366</v>
      </c>
      <c r="F2595" s="71" t="s">
        <v>3020</v>
      </c>
      <c r="G2595" s="71" t="s">
        <v>3101</v>
      </c>
      <c r="H2595" s="71" t="s">
        <v>3083</v>
      </c>
      <c r="I2595" s="71" t="s">
        <v>363</v>
      </c>
    </row>
    <row r="2596" spans="1:9" ht="29" x14ac:dyDescent="0.35">
      <c r="A2596" s="195">
        <v>18</v>
      </c>
      <c r="B2596" s="195">
        <v>46</v>
      </c>
      <c r="C2596" s="195" t="s">
        <v>3159</v>
      </c>
      <c r="D2596" s="64">
        <v>10540</v>
      </c>
      <c r="E2596" s="195" t="s">
        <v>366</v>
      </c>
      <c r="F2596" s="71" t="s">
        <v>2510</v>
      </c>
      <c r="G2596" s="71" t="s">
        <v>3101</v>
      </c>
      <c r="H2596" s="71" t="s">
        <v>3083</v>
      </c>
      <c r="I2596" s="71" t="s">
        <v>363</v>
      </c>
    </row>
    <row r="2597" spans="1:9" ht="29" x14ac:dyDescent="0.35">
      <c r="A2597" s="195">
        <v>18</v>
      </c>
      <c r="B2597" s="195">
        <v>46</v>
      </c>
      <c r="C2597" s="195" t="s">
        <v>3158</v>
      </c>
      <c r="D2597" s="64">
        <v>27390</v>
      </c>
      <c r="E2597" s="195" t="s">
        <v>366</v>
      </c>
      <c r="F2597" s="71" t="s">
        <v>508</v>
      </c>
      <c r="G2597" s="71" t="s">
        <v>3101</v>
      </c>
      <c r="H2597" s="71" t="s">
        <v>2491</v>
      </c>
      <c r="I2597" s="71" t="s">
        <v>363</v>
      </c>
    </row>
    <row r="2598" spans="1:9" ht="29" x14ac:dyDescent="0.35">
      <c r="A2598" s="195">
        <v>18</v>
      </c>
      <c r="B2598" s="195">
        <v>47</v>
      </c>
      <c r="C2598" s="195" t="s">
        <v>3161</v>
      </c>
      <c r="D2598" s="64">
        <v>1480</v>
      </c>
      <c r="E2598" s="195" t="s">
        <v>373</v>
      </c>
      <c r="F2598" s="71" t="s">
        <v>3020</v>
      </c>
      <c r="G2598" s="71" t="s">
        <v>3101</v>
      </c>
      <c r="H2598" s="71" t="s">
        <v>3083</v>
      </c>
      <c r="I2598" s="71" t="s">
        <v>371</v>
      </c>
    </row>
    <row r="2599" spans="1:9" ht="29" x14ac:dyDescent="0.35">
      <c r="A2599" s="195">
        <v>18</v>
      </c>
      <c r="B2599" s="195">
        <v>47</v>
      </c>
      <c r="C2599" s="195" t="s">
        <v>3162</v>
      </c>
      <c r="D2599" s="64">
        <v>1450</v>
      </c>
      <c r="E2599" s="195" t="s">
        <v>373</v>
      </c>
      <c r="F2599" s="71" t="s">
        <v>2510</v>
      </c>
      <c r="G2599" s="71" t="s">
        <v>3101</v>
      </c>
      <c r="H2599" s="71" t="s">
        <v>3083</v>
      </c>
      <c r="I2599" s="71" t="s">
        <v>371</v>
      </c>
    </row>
    <row r="2600" spans="1:9" ht="29" x14ac:dyDescent="0.35">
      <c r="A2600" s="195">
        <v>18</v>
      </c>
      <c r="B2600" s="195">
        <v>47</v>
      </c>
      <c r="C2600" s="195" t="s">
        <v>3163</v>
      </c>
      <c r="D2600" s="64">
        <v>2710</v>
      </c>
      <c r="E2600" s="195" t="s">
        <v>373</v>
      </c>
      <c r="F2600" s="71" t="s">
        <v>508</v>
      </c>
      <c r="G2600" s="71" t="s">
        <v>3101</v>
      </c>
      <c r="H2600" s="71" t="s">
        <v>2491</v>
      </c>
      <c r="I2600" s="71" t="s">
        <v>371</v>
      </c>
    </row>
    <row r="2601" spans="1:9" ht="43.5" x14ac:dyDescent="0.35">
      <c r="A2601" s="195">
        <v>18</v>
      </c>
      <c r="B2601" s="195">
        <v>48</v>
      </c>
      <c r="C2601" s="195" t="s">
        <v>3165</v>
      </c>
      <c r="D2601" s="64">
        <v>1915</v>
      </c>
      <c r="E2601" s="195" t="s">
        <v>373</v>
      </c>
      <c r="F2601" s="71" t="s">
        <v>3020</v>
      </c>
      <c r="G2601" s="71" t="s">
        <v>3101</v>
      </c>
      <c r="H2601" s="71" t="s">
        <v>3083</v>
      </c>
      <c r="I2601" s="71" t="s">
        <v>2805</v>
      </c>
    </row>
    <row r="2602" spans="1:9" ht="43.5" x14ac:dyDescent="0.35">
      <c r="A2602" s="195">
        <v>18</v>
      </c>
      <c r="B2602" s="195">
        <v>48</v>
      </c>
      <c r="C2602" s="195" t="s">
        <v>3164</v>
      </c>
      <c r="D2602" s="64">
        <v>1560</v>
      </c>
      <c r="E2602" s="195" t="s">
        <v>373</v>
      </c>
      <c r="F2602" s="71" t="s">
        <v>2510</v>
      </c>
      <c r="G2602" s="71" t="s">
        <v>3101</v>
      </c>
      <c r="H2602" s="71" t="s">
        <v>3083</v>
      </c>
      <c r="I2602" s="71" t="s">
        <v>2805</v>
      </c>
    </row>
    <row r="2603" spans="1:9" ht="43.5" x14ac:dyDescent="0.35">
      <c r="A2603" s="195">
        <v>18</v>
      </c>
      <c r="B2603" s="195">
        <v>48</v>
      </c>
      <c r="C2603" s="195" t="s">
        <v>3166</v>
      </c>
      <c r="D2603" s="64">
        <v>1905</v>
      </c>
      <c r="E2603" s="195" t="s">
        <v>373</v>
      </c>
      <c r="F2603" s="71" t="s">
        <v>508</v>
      </c>
      <c r="G2603" s="71" t="s">
        <v>3101</v>
      </c>
      <c r="H2603" s="71" t="s">
        <v>2491</v>
      </c>
      <c r="I2603" s="71" t="s">
        <v>2805</v>
      </c>
    </row>
    <row r="2604" spans="1:9" ht="43.5" x14ac:dyDescent="0.35">
      <c r="A2604" s="195">
        <v>18</v>
      </c>
      <c r="B2604" s="195">
        <v>49</v>
      </c>
      <c r="C2604" s="195" t="s">
        <v>3169</v>
      </c>
      <c r="D2604" s="64">
        <v>2785</v>
      </c>
      <c r="E2604" s="195" t="s">
        <v>373</v>
      </c>
      <c r="F2604" s="71" t="s">
        <v>3020</v>
      </c>
      <c r="G2604" s="71" t="s">
        <v>3101</v>
      </c>
      <c r="H2604" s="71" t="s">
        <v>3083</v>
      </c>
      <c r="I2604" s="71" t="s">
        <v>2827</v>
      </c>
    </row>
    <row r="2605" spans="1:9" ht="43.5" x14ac:dyDescent="0.35">
      <c r="A2605" s="195">
        <v>18</v>
      </c>
      <c r="B2605" s="195">
        <v>49</v>
      </c>
      <c r="C2605" s="195" t="s">
        <v>3167</v>
      </c>
      <c r="D2605" s="64">
        <v>2100</v>
      </c>
      <c r="E2605" s="195" t="s">
        <v>373</v>
      </c>
      <c r="F2605" s="71" t="s">
        <v>2510</v>
      </c>
      <c r="G2605" s="71" t="s">
        <v>3101</v>
      </c>
      <c r="H2605" s="71" t="s">
        <v>3083</v>
      </c>
      <c r="I2605" s="71" t="s">
        <v>2827</v>
      </c>
    </row>
    <row r="2606" spans="1:9" ht="43.5" x14ac:dyDescent="0.35">
      <c r="A2606" s="195">
        <v>18</v>
      </c>
      <c r="B2606" s="195">
        <v>49</v>
      </c>
      <c r="C2606" s="195" t="s">
        <v>3168</v>
      </c>
      <c r="D2606" s="64">
        <v>2505</v>
      </c>
      <c r="E2606" s="195" t="s">
        <v>373</v>
      </c>
      <c r="F2606" s="71" t="s">
        <v>508</v>
      </c>
      <c r="G2606" s="71" t="s">
        <v>3101</v>
      </c>
      <c r="H2606" s="71" t="s">
        <v>2491</v>
      </c>
      <c r="I2606" s="71" t="s">
        <v>2827</v>
      </c>
    </row>
    <row r="2607" spans="1:9" ht="43.5" x14ac:dyDescent="0.35">
      <c r="A2607" s="195">
        <v>18</v>
      </c>
      <c r="B2607" s="195">
        <v>50</v>
      </c>
      <c r="C2607" s="195" t="s">
        <v>3171</v>
      </c>
      <c r="D2607" s="64">
        <v>2225</v>
      </c>
      <c r="E2607" s="195" t="s">
        <v>373</v>
      </c>
      <c r="F2607" s="71" t="s">
        <v>3020</v>
      </c>
      <c r="G2607" s="71" t="s">
        <v>3101</v>
      </c>
      <c r="H2607" s="71" t="s">
        <v>3083</v>
      </c>
      <c r="I2607" s="71" t="s">
        <v>3035</v>
      </c>
    </row>
    <row r="2608" spans="1:9" ht="43.5" x14ac:dyDescent="0.35">
      <c r="A2608" s="195">
        <v>18</v>
      </c>
      <c r="B2608" s="195">
        <v>50</v>
      </c>
      <c r="C2608" s="195" t="s">
        <v>3170</v>
      </c>
      <c r="D2608" s="64">
        <v>1230</v>
      </c>
      <c r="E2608" s="195" t="s">
        <v>373</v>
      </c>
      <c r="F2608" s="71" t="s">
        <v>2510</v>
      </c>
      <c r="G2608" s="71" t="s">
        <v>3101</v>
      </c>
      <c r="H2608" s="71" t="s">
        <v>3083</v>
      </c>
      <c r="I2608" s="71" t="s">
        <v>3035</v>
      </c>
    </row>
    <row r="2609" spans="1:9" ht="43.5" x14ac:dyDescent="0.35">
      <c r="A2609" s="195">
        <v>18</v>
      </c>
      <c r="B2609" s="195">
        <v>50</v>
      </c>
      <c r="C2609" s="195" t="s">
        <v>3172</v>
      </c>
      <c r="D2609" s="64">
        <v>1890</v>
      </c>
      <c r="E2609" s="195" t="s">
        <v>373</v>
      </c>
      <c r="F2609" s="71" t="s">
        <v>508</v>
      </c>
      <c r="G2609" s="71" t="s">
        <v>3101</v>
      </c>
      <c r="H2609" s="71" t="s">
        <v>2491</v>
      </c>
      <c r="I2609" s="71" t="s">
        <v>3035</v>
      </c>
    </row>
    <row r="2610" spans="1:9" ht="29" x14ac:dyDescent="0.35">
      <c r="A2610" s="195">
        <v>18</v>
      </c>
      <c r="B2610" s="195">
        <v>51</v>
      </c>
      <c r="C2610" s="195" t="s">
        <v>3175</v>
      </c>
      <c r="D2610" s="64">
        <v>17565</v>
      </c>
      <c r="E2610" s="195" t="s">
        <v>373</v>
      </c>
      <c r="F2610" s="71" t="s">
        <v>3020</v>
      </c>
      <c r="G2610" s="71" t="s">
        <v>3101</v>
      </c>
      <c r="H2610" s="71" t="s">
        <v>3083</v>
      </c>
      <c r="I2610" s="71" t="s">
        <v>415</v>
      </c>
    </row>
    <row r="2611" spans="1:9" ht="29" x14ac:dyDescent="0.35">
      <c r="A2611" s="195">
        <v>18</v>
      </c>
      <c r="B2611" s="195">
        <v>51</v>
      </c>
      <c r="C2611" s="195" t="s">
        <v>3173</v>
      </c>
      <c r="D2611" s="64">
        <v>4205</v>
      </c>
      <c r="E2611" s="195" t="s">
        <v>373</v>
      </c>
      <c r="F2611" s="71" t="s">
        <v>2510</v>
      </c>
      <c r="G2611" s="71" t="s">
        <v>3101</v>
      </c>
      <c r="H2611" s="71" t="s">
        <v>3083</v>
      </c>
      <c r="I2611" s="71" t="s">
        <v>415</v>
      </c>
    </row>
    <row r="2612" spans="1:9" ht="29" x14ac:dyDescent="0.35">
      <c r="A2612" s="195">
        <v>18</v>
      </c>
      <c r="B2612" s="195">
        <v>51</v>
      </c>
      <c r="C2612" s="195" t="s">
        <v>3174</v>
      </c>
      <c r="D2612" s="64">
        <v>18380</v>
      </c>
      <c r="E2612" s="195" t="s">
        <v>373</v>
      </c>
      <c r="F2612" s="71" t="s">
        <v>508</v>
      </c>
      <c r="G2612" s="71" t="s">
        <v>3101</v>
      </c>
      <c r="H2612" s="71" t="s">
        <v>2491</v>
      </c>
      <c r="I2612" s="71" t="s">
        <v>415</v>
      </c>
    </row>
    <row r="2613" spans="1:9" ht="29" x14ac:dyDescent="0.35">
      <c r="A2613" s="195">
        <v>18</v>
      </c>
      <c r="B2613" s="195">
        <v>52</v>
      </c>
      <c r="C2613" s="195" t="s">
        <v>3179</v>
      </c>
      <c r="D2613" s="64">
        <v>120820</v>
      </c>
      <c r="E2613" s="195" t="s">
        <v>366</v>
      </c>
      <c r="F2613" s="71" t="s">
        <v>3020</v>
      </c>
      <c r="G2613" s="71" t="s">
        <v>3177</v>
      </c>
      <c r="H2613" s="71" t="s">
        <v>2502</v>
      </c>
      <c r="I2613" s="71" t="s">
        <v>363</v>
      </c>
    </row>
    <row r="2614" spans="1:9" ht="29" x14ac:dyDescent="0.35">
      <c r="A2614" s="195">
        <v>18</v>
      </c>
      <c r="B2614" s="195">
        <v>52</v>
      </c>
      <c r="C2614" s="195" t="s">
        <v>3176</v>
      </c>
      <c r="D2614" s="64">
        <v>56755</v>
      </c>
      <c r="E2614" s="195" t="s">
        <v>366</v>
      </c>
      <c r="F2614" s="71" t="s">
        <v>2510</v>
      </c>
      <c r="G2614" s="71" t="s">
        <v>3177</v>
      </c>
      <c r="H2614" s="71" t="s">
        <v>2502</v>
      </c>
      <c r="I2614" s="71" t="s">
        <v>363</v>
      </c>
    </row>
    <row r="2615" spans="1:9" ht="29" x14ac:dyDescent="0.35">
      <c r="A2615" s="195">
        <v>18</v>
      </c>
      <c r="B2615" s="195">
        <v>52</v>
      </c>
      <c r="C2615" s="195" t="s">
        <v>3178</v>
      </c>
      <c r="D2615" s="64">
        <v>455125</v>
      </c>
      <c r="E2615" s="195" t="s">
        <v>366</v>
      </c>
      <c r="F2615" s="71" t="s">
        <v>508</v>
      </c>
      <c r="G2615" s="71" t="s">
        <v>3177</v>
      </c>
      <c r="H2615" s="71" t="s">
        <v>2446</v>
      </c>
      <c r="I2615" s="71" t="s">
        <v>363</v>
      </c>
    </row>
    <row r="2616" spans="1:9" ht="29" x14ac:dyDescent="0.35">
      <c r="A2616" s="195">
        <v>18</v>
      </c>
      <c r="B2616" s="195">
        <v>53</v>
      </c>
      <c r="C2616" s="195" t="s">
        <v>3180</v>
      </c>
      <c r="D2616" s="64">
        <v>34485</v>
      </c>
      <c r="E2616" s="195" t="s">
        <v>366</v>
      </c>
      <c r="F2616" s="71" t="s">
        <v>3020</v>
      </c>
      <c r="G2616" s="71" t="s">
        <v>3177</v>
      </c>
      <c r="H2616" s="71" t="s">
        <v>3022</v>
      </c>
      <c r="I2616" s="71" t="s">
        <v>363</v>
      </c>
    </row>
    <row r="2617" spans="1:9" ht="29" x14ac:dyDescent="0.35">
      <c r="A2617" s="195">
        <v>18</v>
      </c>
      <c r="B2617" s="195">
        <v>53</v>
      </c>
      <c r="C2617" s="195" t="s">
        <v>3182</v>
      </c>
      <c r="D2617" s="64">
        <v>19120</v>
      </c>
      <c r="E2617" s="195" t="s">
        <v>366</v>
      </c>
      <c r="F2617" s="71" t="s">
        <v>2510</v>
      </c>
      <c r="G2617" s="71" t="s">
        <v>3177</v>
      </c>
      <c r="H2617" s="71" t="s">
        <v>3022</v>
      </c>
      <c r="I2617" s="71" t="s">
        <v>363</v>
      </c>
    </row>
    <row r="2618" spans="1:9" ht="29" x14ac:dyDescent="0.35">
      <c r="A2618" s="195">
        <v>18</v>
      </c>
      <c r="B2618" s="195">
        <v>53</v>
      </c>
      <c r="C2618" s="195" t="s">
        <v>3181</v>
      </c>
      <c r="D2618" s="64">
        <v>58955</v>
      </c>
      <c r="E2618" s="195" t="s">
        <v>366</v>
      </c>
      <c r="F2618" s="71" t="s">
        <v>508</v>
      </c>
      <c r="G2618" s="71" t="s">
        <v>3177</v>
      </c>
      <c r="H2618" s="71" t="s">
        <v>2456</v>
      </c>
      <c r="I2618" s="71" t="s">
        <v>363</v>
      </c>
    </row>
    <row r="2619" spans="1:9" ht="29" x14ac:dyDescent="0.35">
      <c r="A2619" s="195">
        <v>18</v>
      </c>
      <c r="B2619" s="195">
        <v>54</v>
      </c>
      <c r="C2619" s="195" t="s">
        <v>3185</v>
      </c>
      <c r="D2619" s="64">
        <v>4040</v>
      </c>
      <c r="E2619" s="195" t="s">
        <v>373</v>
      </c>
      <c r="F2619" s="71" t="s">
        <v>3020</v>
      </c>
      <c r="G2619" s="71" t="s">
        <v>3177</v>
      </c>
      <c r="H2619" s="71" t="s">
        <v>3022</v>
      </c>
      <c r="I2619" s="71" t="s">
        <v>371</v>
      </c>
    </row>
    <row r="2620" spans="1:9" ht="29" x14ac:dyDescent="0.35">
      <c r="A2620" s="195">
        <v>18</v>
      </c>
      <c r="B2620" s="195">
        <v>54</v>
      </c>
      <c r="C2620" s="195" t="s">
        <v>3184</v>
      </c>
      <c r="D2620" s="64">
        <v>4585</v>
      </c>
      <c r="E2620" s="195" t="s">
        <v>373</v>
      </c>
      <c r="F2620" s="71" t="s">
        <v>2510</v>
      </c>
      <c r="G2620" s="71" t="s">
        <v>3177</v>
      </c>
      <c r="H2620" s="71" t="s">
        <v>3022</v>
      </c>
      <c r="I2620" s="71" t="s">
        <v>371</v>
      </c>
    </row>
    <row r="2621" spans="1:9" ht="29" x14ac:dyDescent="0.35">
      <c r="A2621" s="195">
        <v>18</v>
      </c>
      <c r="B2621" s="195">
        <v>54</v>
      </c>
      <c r="C2621" s="195" t="s">
        <v>3183</v>
      </c>
      <c r="D2621" s="64">
        <v>44845</v>
      </c>
      <c r="E2621" s="195" t="s">
        <v>373</v>
      </c>
      <c r="F2621" s="71" t="s">
        <v>508</v>
      </c>
      <c r="G2621" s="71" t="s">
        <v>3177</v>
      </c>
      <c r="H2621" s="71" t="s">
        <v>2456</v>
      </c>
      <c r="I2621" s="71" t="s">
        <v>371</v>
      </c>
    </row>
    <row r="2622" spans="1:9" ht="43.5" x14ac:dyDescent="0.35">
      <c r="A2622" s="195">
        <v>18</v>
      </c>
      <c r="B2622" s="195">
        <v>55</v>
      </c>
      <c r="C2622" s="195" t="s">
        <v>3188</v>
      </c>
      <c r="D2622" s="64">
        <v>4390</v>
      </c>
      <c r="E2622" s="195" t="s">
        <v>373</v>
      </c>
      <c r="F2622" s="71" t="s">
        <v>3020</v>
      </c>
      <c r="G2622" s="71" t="s">
        <v>3177</v>
      </c>
      <c r="H2622" s="71" t="s">
        <v>3022</v>
      </c>
      <c r="I2622" s="71" t="s">
        <v>2805</v>
      </c>
    </row>
    <row r="2623" spans="1:9" ht="43.5" x14ac:dyDescent="0.35">
      <c r="A2623" s="195">
        <v>18</v>
      </c>
      <c r="B2623" s="195">
        <v>55</v>
      </c>
      <c r="C2623" s="195" t="s">
        <v>3186</v>
      </c>
      <c r="D2623" s="64">
        <v>3670</v>
      </c>
      <c r="E2623" s="195" t="s">
        <v>373</v>
      </c>
      <c r="F2623" s="71" t="s">
        <v>2510</v>
      </c>
      <c r="G2623" s="71" t="s">
        <v>3177</v>
      </c>
      <c r="H2623" s="71" t="s">
        <v>3022</v>
      </c>
      <c r="I2623" s="71" t="s">
        <v>2805</v>
      </c>
    </row>
    <row r="2624" spans="1:9" ht="43.5" x14ac:dyDescent="0.35">
      <c r="A2624" s="195">
        <v>18</v>
      </c>
      <c r="B2624" s="195">
        <v>55</v>
      </c>
      <c r="C2624" s="195" t="s">
        <v>3187</v>
      </c>
      <c r="D2624" s="64">
        <v>7225</v>
      </c>
      <c r="E2624" s="195" t="s">
        <v>373</v>
      </c>
      <c r="F2624" s="71" t="s">
        <v>508</v>
      </c>
      <c r="G2624" s="71" t="s">
        <v>3177</v>
      </c>
      <c r="H2624" s="71" t="s">
        <v>2456</v>
      </c>
      <c r="I2624" s="71" t="s">
        <v>2805</v>
      </c>
    </row>
    <row r="2625" spans="1:9" ht="43.5" x14ac:dyDescent="0.35">
      <c r="A2625" s="195">
        <v>18</v>
      </c>
      <c r="B2625" s="195">
        <v>56</v>
      </c>
      <c r="C2625" s="195" t="s">
        <v>3189</v>
      </c>
      <c r="D2625" s="64">
        <v>7285</v>
      </c>
      <c r="E2625" s="195" t="s">
        <v>373</v>
      </c>
      <c r="F2625" s="71" t="s">
        <v>3020</v>
      </c>
      <c r="G2625" s="71" t="s">
        <v>3177</v>
      </c>
      <c r="H2625" s="71" t="s">
        <v>3022</v>
      </c>
      <c r="I2625" s="71" t="s">
        <v>2827</v>
      </c>
    </row>
    <row r="2626" spans="1:9" ht="43.5" x14ac:dyDescent="0.35">
      <c r="A2626" s="195">
        <v>18</v>
      </c>
      <c r="B2626" s="195">
        <v>56</v>
      </c>
      <c r="C2626" s="195" t="s">
        <v>3191</v>
      </c>
      <c r="D2626" s="64">
        <v>4135</v>
      </c>
      <c r="E2626" s="195" t="s">
        <v>373</v>
      </c>
      <c r="F2626" s="71" t="s">
        <v>2510</v>
      </c>
      <c r="G2626" s="71" t="s">
        <v>3177</v>
      </c>
      <c r="H2626" s="71" t="s">
        <v>3022</v>
      </c>
      <c r="I2626" s="71" t="s">
        <v>2827</v>
      </c>
    </row>
    <row r="2627" spans="1:9" ht="43.5" x14ac:dyDescent="0.35">
      <c r="A2627" s="195">
        <v>18</v>
      </c>
      <c r="B2627" s="195">
        <v>56</v>
      </c>
      <c r="C2627" s="195" t="s">
        <v>3190</v>
      </c>
      <c r="D2627" s="64">
        <v>3350</v>
      </c>
      <c r="E2627" s="195" t="s">
        <v>373</v>
      </c>
      <c r="F2627" s="71" t="s">
        <v>508</v>
      </c>
      <c r="G2627" s="71" t="s">
        <v>3177</v>
      </c>
      <c r="H2627" s="71" t="s">
        <v>2456</v>
      </c>
      <c r="I2627" s="71" t="s">
        <v>2827</v>
      </c>
    </row>
    <row r="2628" spans="1:9" ht="43.5" x14ac:dyDescent="0.35">
      <c r="A2628" s="195">
        <v>18</v>
      </c>
      <c r="B2628" s="195">
        <v>57</v>
      </c>
      <c r="C2628" s="195" t="s">
        <v>3193</v>
      </c>
      <c r="D2628" s="64">
        <v>4875</v>
      </c>
      <c r="E2628" s="195" t="s">
        <v>373</v>
      </c>
      <c r="F2628" s="71" t="s">
        <v>3020</v>
      </c>
      <c r="G2628" s="71" t="s">
        <v>3177</v>
      </c>
      <c r="H2628" s="71" t="s">
        <v>3022</v>
      </c>
      <c r="I2628" s="71" t="s">
        <v>3035</v>
      </c>
    </row>
    <row r="2629" spans="1:9" ht="43.5" x14ac:dyDescent="0.35">
      <c r="A2629" s="195">
        <v>18</v>
      </c>
      <c r="B2629" s="195">
        <v>57</v>
      </c>
      <c r="C2629" s="195" t="s">
        <v>3192</v>
      </c>
      <c r="D2629" s="64">
        <v>2045</v>
      </c>
      <c r="E2629" s="195" t="s">
        <v>373</v>
      </c>
      <c r="F2629" s="71" t="s">
        <v>2510</v>
      </c>
      <c r="G2629" s="71" t="s">
        <v>3177</v>
      </c>
      <c r="H2629" s="71" t="s">
        <v>3022</v>
      </c>
      <c r="I2629" s="71" t="s">
        <v>3035</v>
      </c>
    </row>
    <row r="2630" spans="1:9" ht="43.5" x14ac:dyDescent="0.35">
      <c r="A2630" s="195">
        <v>18</v>
      </c>
      <c r="B2630" s="195">
        <v>57</v>
      </c>
      <c r="C2630" s="195" t="s">
        <v>3194</v>
      </c>
      <c r="D2630" s="64">
        <v>1170</v>
      </c>
      <c r="E2630" s="195" t="s">
        <v>373</v>
      </c>
      <c r="F2630" s="71" t="s">
        <v>508</v>
      </c>
      <c r="G2630" s="71" t="s">
        <v>3177</v>
      </c>
      <c r="H2630" s="71" t="s">
        <v>2456</v>
      </c>
      <c r="I2630" s="71" t="s">
        <v>3035</v>
      </c>
    </row>
    <row r="2631" spans="1:9" ht="29" x14ac:dyDescent="0.35">
      <c r="A2631" s="195">
        <v>18</v>
      </c>
      <c r="B2631" s="195">
        <v>58</v>
      </c>
      <c r="C2631" s="195" t="s">
        <v>3195</v>
      </c>
      <c r="D2631" s="64">
        <v>13895</v>
      </c>
      <c r="E2631" s="195" t="s">
        <v>373</v>
      </c>
      <c r="F2631" s="71" t="s">
        <v>3020</v>
      </c>
      <c r="G2631" s="71" t="s">
        <v>3177</v>
      </c>
      <c r="H2631" s="71" t="s">
        <v>3022</v>
      </c>
      <c r="I2631" s="71" t="s">
        <v>415</v>
      </c>
    </row>
    <row r="2632" spans="1:9" ht="29" x14ac:dyDescent="0.35">
      <c r="A2632" s="195">
        <v>18</v>
      </c>
      <c r="B2632" s="195">
        <v>58</v>
      </c>
      <c r="C2632" s="195" t="s">
        <v>3196</v>
      </c>
      <c r="D2632" s="64">
        <v>4685</v>
      </c>
      <c r="E2632" s="195" t="s">
        <v>373</v>
      </c>
      <c r="F2632" s="71" t="s">
        <v>2510</v>
      </c>
      <c r="G2632" s="71" t="s">
        <v>3177</v>
      </c>
      <c r="H2632" s="71" t="s">
        <v>3022</v>
      </c>
      <c r="I2632" s="71" t="s">
        <v>415</v>
      </c>
    </row>
    <row r="2633" spans="1:9" ht="29" x14ac:dyDescent="0.35">
      <c r="A2633" s="195">
        <v>18</v>
      </c>
      <c r="B2633" s="195">
        <v>58</v>
      </c>
      <c r="C2633" s="195" t="s">
        <v>3197</v>
      </c>
      <c r="D2633" s="64">
        <v>2360</v>
      </c>
      <c r="E2633" s="195" t="s">
        <v>373</v>
      </c>
      <c r="F2633" s="71" t="s">
        <v>508</v>
      </c>
      <c r="G2633" s="71" t="s">
        <v>3177</v>
      </c>
      <c r="H2633" s="71" t="s">
        <v>2456</v>
      </c>
      <c r="I2633" s="71" t="s">
        <v>415</v>
      </c>
    </row>
    <row r="2634" spans="1:9" ht="43.5" x14ac:dyDescent="0.35">
      <c r="A2634" s="195">
        <v>18</v>
      </c>
      <c r="B2634" s="195">
        <v>59</v>
      </c>
      <c r="C2634" s="195" t="s">
        <v>3199</v>
      </c>
      <c r="D2634" s="64">
        <v>24270</v>
      </c>
      <c r="E2634" s="195" t="s">
        <v>366</v>
      </c>
      <c r="F2634" s="71" t="s">
        <v>3020</v>
      </c>
      <c r="G2634" s="71" t="s">
        <v>3177</v>
      </c>
      <c r="H2634" s="71" t="s">
        <v>3044</v>
      </c>
      <c r="I2634" s="71" t="s">
        <v>363</v>
      </c>
    </row>
    <row r="2635" spans="1:9" ht="43.5" x14ac:dyDescent="0.35">
      <c r="A2635" s="195">
        <v>18</v>
      </c>
      <c r="B2635" s="195">
        <v>59</v>
      </c>
      <c r="C2635" s="195" t="s">
        <v>3200</v>
      </c>
      <c r="D2635" s="64">
        <v>13410</v>
      </c>
      <c r="E2635" s="195" t="s">
        <v>366</v>
      </c>
      <c r="F2635" s="71" t="s">
        <v>2510</v>
      </c>
      <c r="G2635" s="71" t="s">
        <v>3177</v>
      </c>
      <c r="H2635" s="71" t="s">
        <v>3044</v>
      </c>
      <c r="I2635" s="71" t="s">
        <v>363</v>
      </c>
    </row>
    <row r="2636" spans="1:9" ht="29" x14ac:dyDescent="0.35">
      <c r="A2636" s="195">
        <v>18</v>
      </c>
      <c r="B2636" s="195">
        <v>59</v>
      </c>
      <c r="C2636" s="195" t="s">
        <v>3198</v>
      </c>
      <c r="D2636" s="64">
        <v>105915</v>
      </c>
      <c r="E2636" s="195" t="s">
        <v>366</v>
      </c>
      <c r="F2636" s="71" t="s">
        <v>508</v>
      </c>
      <c r="G2636" s="71" t="s">
        <v>3177</v>
      </c>
      <c r="H2636" s="71" t="s">
        <v>3042</v>
      </c>
      <c r="I2636" s="71" t="s">
        <v>363</v>
      </c>
    </row>
    <row r="2637" spans="1:9" ht="43.5" x14ac:dyDescent="0.35">
      <c r="A2637" s="195">
        <v>18</v>
      </c>
      <c r="B2637" s="195">
        <v>60</v>
      </c>
      <c r="C2637" s="195" t="s">
        <v>3203</v>
      </c>
      <c r="D2637" s="64">
        <v>1520</v>
      </c>
      <c r="E2637" s="195" t="s">
        <v>373</v>
      </c>
      <c r="F2637" s="71" t="s">
        <v>3020</v>
      </c>
      <c r="G2637" s="71" t="s">
        <v>3177</v>
      </c>
      <c r="H2637" s="71" t="s">
        <v>3044</v>
      </c>
      <c r="I2637" s="71" t="s">
        <v>371</v>
      </c>
    </row>
    <row r="2638" spans="1:9" ht="43.5" x14ac:dyDescent="0.35">
      <c r="A2638" s="195">
        <v>18</v>
      </c>
      <c r="B2638" s="195">
        <v>60</v>
      </c>
      <c r="C2638" s="195" t="s">
        <v>3201</v>
      </c>
      <c r="D2638" s="64">
        <v>2565</v>
      </c>
      <c r="E2638" s="195" t="s">
        <v>373</v>
      </c>
      <c r="F2638" s="71" t="s">
        <v>2510</v>
      </c>
      <c r="G2638" s="71" t="s">
        <v>3177</v>
      </c>
      <c r="H2638" s="71" t="s">
        <v>3044</v>
      </c>
      <c r="I2638" s="71" t="s">
        <v>371</v>
      </c>
    </row>
    <row r="2639" spans="1:9" ht="29" x14ac:dyDescent="0.35">
      <c r="A2639" s="195">
        <v>18</v>
      </c>
      <c r="B2639" s="195">
        <v>60</v>
      </c>
      <c r="C2639" s="195" t="s">
        <v>3202</v>
      </c>
      <c r="D2639" s="64">
        <v>40700</v>
      </c>
      <c r="E2639" s="195" t="s">
        <v>373</v>
      </c>
      <c r="F2639" s="71" t="s">
        <v>508</v>
      </c>
      <c r="G2639" s="71" t="s">
        <v>3177</v>
      </c>
      <c r="H2639" s="71" t="s">
        <v>3042</v>
      </c>
      <c r="I2639" s="71" t="s">
        <v>371</v>
      </c>
    </row>
    <row r="2640" spans="1:9" ht="43.5" x14ac:dyDescent="0.35">
      <c r="A2640" s="195">
        <v>18</v>
      </c>
      <c r="B2640" s="195">
        <v>61</v>
      </c>
      <c r="C2640" s="195" t="s">
        <v>3204</v>
      </c>
      <c r="D2640" s="64">
        <v>1770</v>
      </c>
      <c r="E2640" s="195" t="s">
        <v>373</v>
      </c>
      <c r="F2640" s="71" t="s">
        <v>3020</v>
      </c>
      <c r="G2640" s="71" t="s">
        <v>3177</v>
      </c>
      <c r="H2640" s="71" t="s">
        <v>3044</v>
      </c>
      <c r="I2640" s="71" t="s">
        <v>2805</v>
      </c>
    </row>
    <row r="2641" spans="1:9" ht="43.5" x14ac:dyDescent="0.35">
      <c r="A2641" s="195">
        <v>18</v>
      </c>
      <c r="B2641" s="195">
        <v>61</v>
      </c>
      <c r="C2641" s="195" t="s">
        <v>3206</v>
      </c>
      <c r="D2641" s="64">
        <v>2670</v>
      </c>
      <c r="E2641" s="195" t="s">
        <v>373</v>
      </c>
      <c r="F2641" s="71" t="s">
        <v>2510</v>
      </c>
      <c r="G2641" s="71" t="s">
        <v>3177</v>
      </c>
      <c r="H2641" s="71" t="s">
        <v>3044</v>
      </c>
      <c r="I2641" s="71" t="s">
        <v>2805</v>
      </c>
    </row>
    <row r="2642" spans="1:9" ht="43.5" x14ac:dyDescent="0.35">
      <c r="A2642" s="195">
        <v>18</v>
      </c>
      <c r="B2642" s="195">
        <v>61</v>
      </c>
      <c r="C2642" s="195" t="s">
        <v>3205</v>
      </c>
      <c r="D2642" s="64">
        <v>26840</v>
      </c>
      <c r="E2642" s="195" t="s">
        <v>373</v>
      </c>
      <c r="F2642" s="71" t="s">
        <v>508</v>
      </c>
      <c r="G2642" s="71" t="s">
        <v>3177</v>
      </c>
      <c r="H2642" s="71" t="s">
        <v>3042</v>
      </c>
      <c r="I2642" s="71" t="s">
        <v>2805</v>
      </c>
    </row>
    <row r="2643" spans="1:9" ht="43.5" x14ac:dyDescent="0.35">
      <c r="A2643" s="195">
        <v>18</v>
      </c>
      <c r="B2643" s="195">
        <v>62</v>
      </c>
      <c r="C2643" s="195" t="s">
        <v>3209</v>
      </c>
      <c r="D2643" s="64">
        <v>3985</v>
      </c>
      <c r="E2643" s="195" t="s">
        <v>373</v>
      </c>
      <c r="F2643" s="71" t="s">
        <v>3020</v>
      </c>
      <c r="G2643" s="71" t="s">
        <v>3177</v>
      </c>
      <c r="H2643" s="71" t="s">
        <v>3044</v>
      </c>
      <c r="I2643" s="71" t="s">
        <v>2827</v>
      </c>
    </row>
    <row r="2644" spans="1:9" ht="43.5" x14ac:dyDescent="0.35">
      <c r="A2644" s="195">
        <v>18</v>
      </c>
      <c r="B2644" s="195">
        <v>62</v>
      </c>
      <c r="C2644" s="195" t="s">
        <v>3208</v>
      </c>
      <c r="D2644" s="64">
        <v>2545</v>
      </c>
      <c r="E2644" s="195" t="s">
        <v>373</v>
      </c>
      <c r="F2644" s="71" t="s">
        <v>2510</v>
      </c>
      <c r="G2644" s="71" t="s">
        <v>3177</v>
      </c>
      <c r="H2644" s="71" t="s">
        <v>3044</v>
      </c>
      <c r="I2644" s="71" t="s">
        <v>2827</v>
      </c>
    </row>
    <row r="2645" spans="1:9" ht="43.5" x14ac:dyDescent="0.35">
      <c r="A2645" s="195">
        <v>18</v>
      </c>
      <c r="B2645" s="195">
        <v>62</v>
      </c>
      <c r="C2645" s="195" t="s">
        <v>3207</v>
      </c>
      <c r="D2645" s="64">
        <v>21860</v>
      </c>
      <c r="E2645" s="195" t="s">
        <v>373</v>
      </c>
      <c r="F2645" s="71" t="s">
        <v>508</v>
      </c>
      <c r="G2645" s="71" t="s">
        <v>3177</v>
      </c>
      <c r="H2645" s="71" t="s">
        <v>3042</v>
      </c>
      <c r="I2645" s="71" t="s">
        <v>2827</v>
      </c>
    </row>
    <row r="2646" spans="1:9" ht="43.5" x14ac:dyDescent="0.35">
      <c r="A2646" s="195">
        <v>18</v>
      </c>
      <c r="B2646" s="195">
        <v>63</v>
      </c>
      <c r="C2646" s="195" t="s">
        <v>3210</v>
      </c>
      <c r="D2646" s="64">
        <v>3030</v>
      </c>
      <c r="E2646" s="195" t="s">
        <v>373</v>
      </c>
      <c r="F2646" s="71" t="s">
        <v>3020</v>
      </c>
      <c r="G2646" s="71" t="s">
        <v>3177</v>
      </c>
      <c r="H2646" s="71" t="s">
        <v>3044</v>
      </c>
      <c r="I2646" s="71" t="s">
        <v>3035</v>
      </c>
    </row>
    <row r="2647" spans="1:9" ht="43.5" x14ac:dyDescent="0.35">
      <c r="A2647" s="195">
        <v>18</v>
      </c>
      <c r="B2647" s="195">
        <v>63</v>
      </c>
      <c r="C2647" s="195" t="s">
        <v>3212</v>
      </c>
      <c r="D2647" s="64">
        <v>1175</v>
      </c>
      <c r="E2647" s="195" t="s">
        <v>373</v>
      </c>
      <c r="F2647" s="71" t="s">
        <v>2510</v>
      </c>
      <c r="G2647" s="71" t="s">
        <v>3177</v>
      </c>
      <c r="H2647" s="71" t="s">
        <v>3044</v>
      </c>
      <c r="I2647" s="71" t="s">
        <v>3035</v>
      </c>
    </row>
    <row r="2648" spans="1:9" ht="43.5" x14ac:dyDescent="0.35">
      <c r="A2648" s="195">
        <v>18</v>
      </c>
      <c r="B2648" s="195">
        <v>63</v>
      </c>
      <c r="C2648" s="195" t="s">
        <v>3211</v>
      </c>
      <c r="D2648" s="64">
        <v>7450</v>
      </c>
      <c r="E2648" s="195" t="s">
        <v>373</v>
      </c>
      <c r="F2648" s="71" t="s">
        <v>508</v>
      </c>
      <c r="G2648" s="71" t="s">
        <v>3177</v>
      </c>
      <c r="H2648" s="71" t="s">
        <v>3042</v>
      </c>
      <c r="I2648" s="71" t="s">
        <v>3035</v>
      </c>
    </row>
    <row r="2649" spans="1:9" ht="43.5" x14ac:dyDescent="0.35">
      <c r="A2649" s="195">
        <v>18</v>
      </c>
      <c r="B2649" s="195">
        <v>64</v>
      </c>
      <c r="C2649" s="195" t="s">
        <v>3214</v>
      </c>
      <c r="D2649" s="64">
        <v>13965</v>
      </c>
      <c r="E2649" s="195" t="s">
        <v>373</v>
      </c>
      <c r="F2649" s="71" t="s">
        <v>3020</v>
      </c>
      <c r="G2649" s="71" t="s">
        <v>3177</v>
      </c>
      <c r="H2649" s="71" t="s">
        <v>3044</v>
      </c>
      <c r="I2649" s="71" t="s">
        <v>415</v>
      </c>
    </row>
    <row r="2650" spans="1:9" ht="43.5" x14ac:dyDescent="0.35">
      <c r="A2650" s="195">
        <v>18</v>
      </c>
      <c r="B2650" s="195">
        <v>64</v>
      </c>
      <c r="C2650" s="195" t="s">
        <v>3213</v>
      </c>
      <c r="D2650" s="64">
        <v>4460</v>
      </c>
      <c r="E2650" s="195" t="s">
        <v>373</v>
      </c>
      <c r="F2650" s="71" t="s">
        <v>2510</v>
      </c>
      <c r="G2650" s="71" t="s">
        <v>3177</v>
      </c>
      <c r="H2650" s="71" t="s">
        <v>3044</v>
      </c>
      <c r="I2650" s="71" t="s">
        <v>415</v>
      </c>
    </row>
    <row r="2651" spans="1:9" ht="29" x14ac:dyDescent="0.35">
      <c r="A2651" s="195">
        <v>18</v>
      </c>
      <c r="B2651" s="195">
        <v>64</v>
      </c>
      <c r="C2651" s="195" t="s">
        <v>3215</v>
      </c>
      <c r="D2651" s="64">
        <v>9060</v>
      </c>
      <c r="E2651" s="195" t="s">
        <v>373</v>
      </c>
      <c r="F2651" s="71" t="s">
        <v>508</v>
      </c>
      <c r="G2651" s="71" t="s">
        <v>3177</v>
      </c>
      <c r="H2651" s="71" t="s">
        <v>3042</v>
      </c>
      <c r="I2651" s="71" t="s">
        <v>415</v>
      </c>
    </row>
    <row r="2652" spans="1:9" ht="43.5" x14ac:dyDescent="0.35">
      <c r="A2652" s="195">
        <v>18</v>
      </c>
      <c r="B2652" s="195">
        <v>65</v>
      </c>
      <c r="C2652" s="195" t="s">
        <v>3216</v>
      </c>
      <c r="D2652" s="64">
        <v>13605</v>
      </c>
      <c r="E2652" s="195" t="s">
        <v>366</v>
      </c>
      <c r="F2652" s="71" t="s">
        <v>3020</v>
      </c>
      <c r="G2652" s="71" t="s">
        <v>3177</v>
      </c>
      <c r="H2652" s="71" t="s">
        <v>3064</v>
      </c>
      <c r="I2652" s="71" t="s">
        <v>363</v>
      </c>
    </row>
    <row r="2653" spans="1:9" ht="43.5" x14ac:dyDescent="0.35">
      <c r="A2653" s="195">
        <v>18</v>
      </c>
      <c r="B2653" s="195">
        <v>65</v>
      </c>
      <c r="C2653" s="195" t="s">
        <v>3217</v>
      </c>
      <c r="D2653" s="64">
        <v>5360</v>
      </c>
      <c r="E2653" s="195" t="s">
        <v>366</v>
      </c>
      <c r="F2653" s="71" t="s">
        <v>2510</v>
      </c>
      <c r="G2653" s="71" t="s">
        <v>3177</v>
      </c>
      <c r="H2653" s="71" t="s">
        <v>3064</v>
      </c>
      <c r="I2653" s="71" t="s">
        <v>363</v>
      </c>
    </row>
    <row r="2654" spans="1:9" ht="29" x14ac:dyDescent="0.35">
      <c r="A2654" s="195">
        <v>18</v>
      </c>
      <c r="B2654" s="195">
        <v>65</v>
      </c>
      <c r="C2654" s="195" t="s">
        <v>3218</v>
      </c>
      <c r="D2654" s="64">
        <v>189280</v>
      </c>
      <c r="E2654" s="195" t="s">
        <v>366</v>
      </c>
      <c r="F2654" s="71" t="s">
        <v>508</v>
      </c>
      <c r="G2654" s="71" t="s">
        <v>3177</v>
      </c>
      <c r="H2654" s="71" t="s">
        <v>3062</v>
      </c>
      <c r="I2654" s="71" t="s">
        <v>363</v>
      </c>
    </row>
    <row r="2655" spans="1:9" ht="43.5" x14ac:dyDescent="0.35">
      <c r="A2655" s="195">
        <v>18</v>
      </c>
      <c r="B2655" s="195">
        <v>66</v>
      </c>
      <c r="C2655" s="195" t="s">
        <v>3221</v>
      </c>
      <c r="D2655" s="195">
        <v>620</v>
      </c>
      <c r="E2655" s="195" t="s">
        <v>373</v>
      </c>
      <c r="F2655" s="71" t="s">
        <v>3020</v>
      </c>
      <c r="G2655" s="71" t="s">
        <v>3177</v>
      </c>
      <c r="H2655" s="71" t="s">
        <v>3064</v>
      </c>
      <c r="I2655" s="71" t="s">
        <v>371</v>
      </c>
    </row>
    <row r="2656" spans="1:9" ht="43.5" x14ac:dyDescent="0.35">
      <c r="A2656" s="195">
        <v>18</v>
      </c>
      <c r="B2656" s="195">
        <v>66</v>
      </c>
      <c r="C2656" s="195" t="s">
        <v>3219</v>
      </c>
      <c r="D2656" s="195">
        <v>740</v>
      </c>
      <c r="E2656" s="195" t="s">
        <v>373</v>
      </c>
      <c r="F2656" s="71" t="s">
        <v>2510</v>
      </c>
      <c r="G2656" s="71" t="s">
        <v>3177</v>
      </c>
      <c r="H2656" s="71" t="s">
        <v>3064</v>
      </c>
      <c r="I2656" s="71" t="s">
        <v>371</v>
      </c>
    </row>
    <row r="2657" spans="1:9" ht="29" x14ac:dyDescent="0.35">
      <c r="A2657" s="195">
        <v>18</v>
      </c>
      <c r="B2657" s="195">
        <v>66</v>
      </c>
      <c r="C2657" s="195" t="s">
        <v>3220</v>
      </c>
      <c r="D2657" s="64">
        <v>44315</v>
      </c>
      <c r="E2657" s="195" t="s">
        <v>373</v>
      </c>
      <c r="F2657" s="71" t="s">
        <v>508</v>
      </c>
      <c r="G2657" s="71" t="s">
        <v>3177</v>
      </c>
      <c r="H2657" s="71" t="s">
        <v>3062</v>
      </c>
      <c r="I2657" s="71" t="s">
        <v>371</v>
      </c>
    </row>
    <row r="2658" spans="1:9" ht="43.5" x14ac:dyDescent="0.35">
      <c r="A2658" s="195">
        <v>18</v>
      </c>
      <c r="B2658" s="195">
        <v>67</v>
      </c>
      <c r="C2658" s="195" t="s">
        <v>3223</v>
      </c>
      <c r="D2658" s="195">
        <v>530</v>
      </c>
      <c r="E2658" s="195" t="s">
        <v>373</v>
      </c>
      <c r="F2658" s="71" t="s">
        <v>3020</v>
      </c>
      <c r="G2658" s="71" t="s">
        <v>3177</v>
      </c>
      <c r="H2658" s="71" t="s">
        <v>3064</v>
      </c>
      <c r="I2658" s="71" t="s">
        <v>2805</v>
      </c>
    </row>
    <row r="2659" spans="1:9" ht="43.5" x14ac:dyDescent="0.35">
      <c r="A2659" s="195">
        <v>18</v>
      </c>
      <c r="B2659" s="195">
        <v>67</v>
      </c>
      <c r="C2659" s="195" t="s">
        <v>3224</v>
      </c>
      <c r="D2659" s="195">
        <v>765</v>
      </c>
      <c r="E2659" s="195" t="s">
        <v>373</v>
      </c>
      <c r="F2659" s="71" t="s">
        <v>2510</v>
      </c>
      <c r="G2659" s="71" t="s">
        <v>3177</v>
      </c>
      <c r="H2659" s="71" t="s">
        <v>3064</v>
      </c>
      <c r="I2659" s="71" t="s">
        <v>2805</v>
      </c>
    </row>
    <row r="2660" spans="1:9" ht="43.5" x14ac:dyDescent="0.35">
      <c r="A2660" s="195">
        <v>18</v>
      </c>
      <c r="B2660" s="195">
        <v>67</v>
      </c>
      <c r="C2660" s="195" t="s">
        <v>3222</v>
      </c>
      <c r="D2660" s="64">
        <v>31930</v>
      </c>
      <c r="E2660" s="195" t="s">
        <v>373</v>
      </c>
      <c r="F2660" s="71" t="s">
        <v>508</v>
      </c>
      <c r="G2660" s="71" t="s">
        <v>3177</v>
      </c>
      <c r="H2660" s="71" t="s">
        <v>3062</v>
      </c>
      <c r="I2660" s="71" t="s">
        <v>2805</v>
      </c>
    </row>
    <row r="2661" spans="1:9" ht="43.5" x14ac:dyDescent="0.35">
      <c r="A2661" s="195">
        <v>18</v>
      </c>
      <c r="B2661" s="195">
        <v>68</v>
      </c>
      <c r="C2661" s="195" t="s">
        <v>3226</v>
      </c>
      <c r="D2661" s="64">
        <v>1185</v>
      </c>
      <c r="E2661" s="195" t="s">
        <v>373</v>
      </c>
      <c r="F2661" s="71" t="s">
        <v>3020</v>
      </c>
      <c r="G2661" s="71" t="s">
        <v>3177</v>
      </c>
      <c r="H2661" s="71" t="s">
        <v>3064</v>
      </c>
      <c r="I2661" s="71" t="s">
        <v>2827</v>
      </c>
    </row>
    <row r="2662" spans="1:9" ht="43.5" x14ac:dyDescent="0.35">
      <c r="A2662" s="195">
        <v>18</v>
      </c>
      <c r="B2662" s="195">
        <v>68</v>
      </c>
      <c r="C2662" s="195" t="s">
        <v>3225</v>
      </c>
      <c r="D2662" s="195">
        <v>805</v>
      </c>
      <c r="E2662" s="195" t="s">
        <v>373</v>
      </c>
      <c r="F2662" s="71" t="s">
        <v>2510</v>
      </c>
      <c r="G2662" s="71" t="s">
        <v>3177</v>
      </c>
      <c r="H2662" s="71" t="s">
        <v>3064</v>
      </c>
      <c r="I2662" s="71" t="s">
        <v>2827</v>
      </c>
    </row>
    <row r="2663" spans="1:9" ht="43.5" x14ac:dyDescent="0.35">
      <c r="A2663" s="195">
        <v>18</v>
      </c>
      <c r="B2663" s="195">
        <v>68</v>
      </c>
      <c r="C2663" s="195" t="s">
        <v>3227</v>
      </c>
      <c r="D2663" s="64">
        <v>44055</v>
      </c>
      <c r="E2663" s="195" t="s">
        <v>373</v>
      </c>
      <c r="F2663" s="71" t="s">
        <v>508</v>
      </c>
      <c r="G2663" s="71" t="s">
        <v>3177</v>
      </c>
      <c r="H2663" s="71" t="s">
        <v>3062</v>
      </c>
      <c r="I2663" s="71" t="s">
        <v>2827</v>
      </c>
    </row>
    <row r="2664" spans="1:9" ht="43.5" x14ac:dyDescent="0.35">
      <c r="A2664" s="195">
        <v>18</v>
      </c>
      <c r="B2664" s="195">
        <v>69</v>
      </c>
      <c r="C2664" s="195" t="s">
        <v>3230</v>
      </c>
      <c r="D2664" s="64">
        <v>1375</v>
      </c>
      <c r="E2664" s="195" t="s">
        <v>373</v>
      </c>
      <c r="F2664" s="71" t="s">
        <v>3020</v>
      </c>
      <c r="G2664" s="71" t="s">
        <v>3177</v>
      </c>
      <c r="H2664" s="71" t="s">
        <v>3064</v>
      </c>
      <c r="I2664" s="71" t="s">
        <v>3035</v>
      </c>
    </row>
    <row r="2665" spans="1:9" ht="43.5" x14ac:dyDescent="0.35">
      <c r="A2665" s="195">
        <v>18</v>
      </c>
      <c r="B2665" s="195">
        <v>69</v>
      </c>
      <c r="C2665" s="195" t="s">
        <v>3228</v>
      </c>
      <c r="D2665" s="195">
        <v>720</v>
      </c>
      <c r="E2665" s="195" t="s">
        <v>373</v>
      </c>
      <c r="F2665" s="71" t="s">
        <v>2510</v>
      </c>
      <c r="G2665" s="71" t="s">
        <v>3177</v>
      </c>
      <c r="H2665" s="71" t="s">
        <v>3064</v>
      </c>
      <c r="I2665" s="71" t="s">
        <v>3035</v>
      </c>
    </row>
    <row r="2666" spans="1:9" ht="43.5" x14ac:dyDescent="0.35">
      <c r="A2666" s="195">
        <v>18</v>
      </c>
      <c r="B2666" s="195">
        <v>69</v>
      </c>
      <c r="C2666" s="195" t="s">
        <v>3229</v>
      </c>
      <c r="D2666" s="64">
        <v>22420</v>
      </c>
      <c r="E2666" s="195" t="s">
        <v>373</v>
      </c>
      <c r="F2666" s="71" t="s">
        <v>508</v>
      </c>
      <c r="G2666" s="71" t="s">
        <v>3177</v>
      </c>
      <c r="H2666" s="71" t="s">
        <v>3062</v>
      </c>
      <c r="I2666" s="71" t="s">
        <v>3035</v>
      </c>
    </row>
    <row r="2667" spans="1:9" ht="43.5" x14ac:dyDescent="0.35">
      <c r="A2667" s="195">
        <v>18</v>
      </c>
      <c r="B2667" s="195">
        <v>70</v>
      </c>
      <c r="C2667" s="195" t="s">
        <v>3232</v>
      </c>
      <c r="D2667" s="64">
        <v>9900</v>
      </c>
      <c r="E2667" s="195" t="s">
        <v>373</v>
      </c>
      <c r="F2667" s="71" t="s">
        <v>3020</v>
      </c>
      <c r="G2667" s="71" t="s">
        <v>3177</v>
      </c>
      <c r="H2667" s="71" t="s">
        <v>3064</v>
      </c>
      <c r="I2667" s="71" t="s">
        <v>415</v>
      </c>
    </row>
    <row r="2668" spans="1:9" ht="43.5" x14ac:dyDescent="0.35">
      <c r="A2668" s="195">
        <v>18</v>
      </c>
      <c r="B2668" s="195">
        <v>70</v>
      </c>
      <c r="C2668" s="195" t="s">
        <v>3233</v>
      </c>
      <c r="D2668" s="64">
        <v>2335</v>
      </c>
      <c r="E2668" s="195" t="s">
        <v>373</v>
      </c>
      <c r="F2668" s="71" t="s">
        <v>2510</v>
      </c>
      <c r="G2668" s="71" t="s">
        <v>3177</v>
      </c>
      <c r="H2668" s="71" t="s">
        <v>3064</v>
      </c>
      <c r="I2668" s="71" t="s">
        <v>415</v>
      </c>
    </row>
    <row r="2669" spans="1:9" ht="29" x14ac:dyDescent="0.35">
      <c r="A2669" s="195">
        <v>18</v>
      </c>
      <c r="B2669" s="195">
        <v>70</v>
      </c>
      <c r="C2669" s="195" t="s">
        <v>3231</v>
      </c>
      <c r="D2669" s="64">
        <v>46560</v>
      </c>
      <c r="E2669" s="195" t="s">
        <v>373</v>
      </c>
      <c r="F2669" s="71" t="s">
        <v>508</v>
      </c>
      <c r="G2669" s="71" t="s">
        <v>3177</v>
      </c>
      <c r="H2669" s="71" t="s">
        <v>3062</v>
      </c>
      <c r="I2669" s="71" t="s">
        <v>415</v>
      </c>
    </row>
    <row r="2670" spans="1:9" ht="29" x14ac:dyDescent="0.35">
      <c r="A2670" s="195">
        <v>18</v>
      </c>
      <c r="B2670" s="195">
        <v>71</v>
      </c>
      <c r="C2670" s="195" t="s">
        <v>3235</v>
      </c>
      <c r="D2670" s="64">
        <v>48460</v>
      </c>
      <c r="E2670" s="195" t="s">
        <v>366</v>
      </c>
      <c r="F2670" s="71" t="s">
        <v>3020</v>
      </c>
      <c r="G2670" s="71" t="s">
        <v>3177</v>
      </c>
      <c r="H2670" s="71" t="s">
        <v>3083</v>
      </c>
      <c r="I2670" s="71" t="s">
        <v>363</v>
      </c>
    </row>
    <row r="2671" spans="1:9" ht="29" x14ac:dyDescent="0.35">
      <c r="A2671" s="195">
        <v>18</v>
      </c>
      <c r="B2671" s="195">
        <v>71</v>
      </c>
      <c r="C2671" s="195" t="s">
        <v>3234</v>
      </c>
      <c r="D2671" s="64">
        <v>18865</v>
      </c>
      <c r="E2671" s="195" t="s">
        <v>366</v>
      </c>
      <c r="F2671" s="71" t="s">
        <v>2510</v>
      </c>
      <c r="G2671" s="71" t="s">
        <v>3177</v>
      </c>
      <c r="H2671" s="71" t="s">
        <v>3083</v>
      </c>
      <c r="I2671" s="71" t="s">
        <v>363</v>
      </c>
    </row>
    <row r="2672" spans="1:9" ht="29" x14ac:dyDescent="0.35">
      <c r="A2672" s="195">
        <v>18</v>
      </c>
      <c r="B2672" s="195">
        <v>71</v>
      </c>
      <c r="C2672" s="195" t="s">
        <v>3236</v>
      </c>
      <c r="D2672" s="64">
        <v>100980</v>
      </c>
      <c r="E2672" s="195" t="s">
        <v>366</v>
      </c>
      <c r="F2672" s="71" t="s">
        <v>508</v>
      </c>
      <c r="G2672" s="71" t="s">
        <v>3177</v>
      </c>
      <c r="H2672" s="71" t="s">
        <v>2491</v>
      </c>
      <c r="I2672" s="71" t="s">
        <v>363</v>
      </c>
    </row>
    <row r="2673" spans="1:9" ht="29" x14ac:dyDescent="0.35">
      <c r="A2673" s="195">
        <v>18</v>
      </c>
      <c r="B2673" s="195">
        <v>72</v>
      </c>
      <c r="C2673" s="195" t="s">
        <v>3237</v>
      </c>
      <c r="D2673" s="64">
        <v>1505</v>
      </c>
      <c r="E2673" s="195" t="s">
        <v>373</v>
      </c>
      <c r="F2673" s="71" t="s">
        <v>3020</v>
      </c>
      <c r="G2673" s="71" t="s">
        <v>3177</v>
      </c>
      <c r="H2673" s="71" t="s">
        <v>3083</v>
      </c>
      <c r="I2673" s="71" t="s">
        <v>371</v>
      </c>
    </row>
    <row r="2674" spans="1:9" ht="29" x14ac:dyDescent="0.35">
      <c r="A2674" s="195">
        <v>18</v>
      </c>
      <c r="B2674" s="195">
        <v>72</v>
      </c>
      <c r="C2674" s="195" t="s">
        <v>3239</v>
      </c>
      <c r="D2674" s="64">
        <v>2265</v>
      </c>
      <c r="E2674" s="195" t="s">
        <v>373</v>
      </c>
      <c r="F2674" s="71" t="s">
        <v>2510</v>
      </c>
      <c r="G2674" s="71" t="s">
        <v>3177</v>
      </c>
      <c r="H2674" s="71" t="s">
        <v>3083</v>
      </c>
      <c r="I2674" s="71" t="s">
        <v>371</v>
      </c>
    </row>
    <row r="2675" spans="1:9" ht="29" x14ac:dyDescent="0.35">
      <c r="A2675" s="195">
        <v>18</v>
      </c>
      <c r="B2675" s="195">
        <v>72</v>
      </c>
      <c r="C2675" s="195" t="s">
        <v>3238</v>
      </c>
      <c r="D2675" s="64">
        <v>12330</v>
      </c>
      <c r="E2675" s="195" t="s">
        <v>373</v>
      </c>
      <c r="F2675" s="71" t="s">
        <v>508</v>
      </c>
      <c r="G2675" s="71" t="s">
        <v>3177</v>
      </c>
      <c r="H2675" s="71" t="s">
        <v>2491</v>
      </c>
      <c r="I2675" s="71" t="s">
        <v>371</v>
      </c>
    </row>
    <row r="2676" spans="1:9" ht="43.5" x14ac:dyDescent="0.35">
      <c r="A2676" s="195">
        <v>18</v>
      </c>
      <c r="B2676" s="195">
        <v>73</v>
      </c>
      <c r="C2676" s="195" t="s">
        <v>3242</v>
      </c>
      <c r="D2676" s="64">
        <v>1265</v>
      </c>
      <c r="E2676" s="195" t="s">
        <v>373</v>
      </c>
      <c r="F2676" s="71" t="s">
        <v>3020</v>
      </c>
      <c r="G2676" s="71" t="s">
        <v>3177</v>
      </c>
      <c r="H2676" s="71" t="s">
        <v>3083</v>
      </c>
      <c r="I2676" s="71" t="s">
        <v>2805</v>
      </c>
    </row>
    <row r="2677" spans="1:9" ht="43.5" x14ac:dyDescent="0.35">
      <c r="A2677" s="195">
        <v>18</v>
      </c>
      <c r="B2677" s="195">
        <v>73</v>
      </c>
      <c r="C2677" s="195" t="s">
        <v>3241</v>
      </c>
      <c r="D2677" s="64">
        <v>1765</v>
      </c>
      <c r="E2677" s="195" t="s">
        <v>373</v>
      </c>
      <c r="F2677" s="71" t="s">
        <v>2510</v>
      </c>
      <c r="G2677" s="71" t="s">
        <v>3177</v>
      </c>
      <c r="H2677" s="71" t="s">
        <v>3083</v>
      </c>
      <c r="I2677" s="71" t="s">
        <v>2805</v>
      </c>
    </row>
    <row r="2678" spans="1:9" ht="43.5" x14ac:dyDescent="0.35">
      <c r="A2678" s="195">
        <v>18</v>
      </c>
      <c r="B2678" s="195">
        <v>73</v>
      </c>
      <c r="C2678" s="195" t="s">
        <v>3240</v>
      </c>
      <c r="D2678" s="64">
        <v>6650</v>
      </c>
      <c r="E2678" s="195" t="s">
        <v>373</v>
      </c>
      <c r="F2678" s="71" t="s">
        <v>508</v>
      </c>
      <c r="G2678" s="71" t="s">
        <v>3177</v>
      </c>
      <c r="H2678" s="71" t="s">
        <v>2491</v>
      </c>
      <c r="I2678" s="71" t="s">
        <v>2805</v>
      </c>
    </row>
    <row r="2679" spans="1:9" ht="43.5" x14ac:dyDescent="0.35">
      <c r="A2679" s="195">
        <v>18</v>
      </c>
      <c r="B2679" s="195">
        <v>74</v>
      </c>
      <c r="C2679" s="195" t="s">
        <v>3243</v>
      </c>
      <c r="D2679" s="64">
        <v>2290</v>
      </c>
      <c r="E2679" s="195" t="s">
        <v>373</v>
      </c>
      <c r="F2679" s="71" t="s">
        <v>3020</v>
      </c>
      <c r="G2679" s="71" t="s">
        <v>3177</v>
      </c>
      <c r="H2679" s="71" t="s">
        <v>3083</v>
      </c>
      <c r="I2679" s="71" t="s">
        <v>2827</v>
      </c>
    </row>
    <row r="2680" spans="1:9" ht="43.5" x14ac:dyDescent="0.35">
      <c r="A2680" s="195">
        <v>18</v>
      </c>
      <c r="B2680" s="195">
        <v>74</v>
      </c>
      <c r="C2680" s="195" t="s">
        <v>3244</v>
      </c>
      <c r="D2680" s="64">
        <v>1890</v>
      </c>
      <c r="E2680" s="195" t="s">
        <v>373</v>
      </c>
      <c r="F2680" s="71" t="s">
        <v>2510</v>
      </c>
      <c r="G2680" s="71" t="s">
        <v>3177</v>
      </c>
      <c r="H2680" s="71" t="s">
        <v>3083</v>
      </c>
      <c r="I2680" s="71" t="s">
        <v>2827</v>
      </c>
    </row>
    <row r="2681" spans="1:9" ht="43.5" x14ac:dyDescent="0.35">
      <c r="A2681" s="195">
        <v>18</v>
      </c>
      <c r="B2681" s="195">
        <v>74</v>
      </c>
      <c r="C2681" s="195" t="s">
        <v>3245</v>
      </c>
      <c r="D2681" s="64">
        <v>10115</v>
      </c>
      <c r="E2681" s="195" t="s">
        <v>373</v>
      </c>
      <c r="F2681" s="71" t="s">
        <v>508</v>
      </c>
      <c r="G2681" s="71" t="s">
        <v>3177</v>
      </c>
      <c r="H2681" s="71" t="s">
        <v>2491</v>
      </c>
      <c r="I2681" s="71" t="s">
        <v>2827</v>
      </c>
    </row>
    <row r="2682" spans="1:9" ht="43.5" x14ac:dyDescent="0.35">
      <c r="A2682" s="195">
        <v>18</v>
      </c>
      <c r="B2682" s="195">
        <v>75</v>
      </c>
      <c r="C2682" s="195" t="s">
        <v>3247</v>
      </c>
      <c r="D2682" s="64">
        <v>2130</v>
      </c>
      <c r="E2682" s="195" t="s">
        <v>373</v>
      </c>
      <c r="F2682" s="71" t="s">
        <v>3020</v>
      </c>
      <c r="G2682" s="71" t="s">
        <v>3177</v>
      </c>
      <c r="H2682" s="71" t="s">
        <v>3083</v>
      </c>
      <c r="I2682" s="71" t="s">
        <v>3035</v>
      </c>
    </row>
    <row r="2683" spans="1:9" ht="43.5" x14ac:dyDescent="0.35">
      <c r="A2683" s="195">
        <v>18</v>
      </c>
      <c r="B2683" s="195">
        <v>75</v>
      </c>
      <c r="C2683" s="195" t="s">
        <v>3248</v>
      </c>
      <c r="D2683" s="64">
        <v>1235</v>
      </c>
      <c r="E2683" s="195" t="s">
        <v>373</v>
      </c>
      <c r="F2683" s="71" t="s">
        <v>2510</v>
      </c>
      <c r="G2683" s="71" t="s">
        <v>3177</v>
      </c>
      <c r="H2683" s="71" t="s">
        <v>3083</v>
      </c>
      <c r="I2683" s="71" t="s">
        <v>3035</v>
      </c>
    </row>
    <row r="2684" spans="1:9" ht="43.5" x14ac:dyDescent="0.35">
      <c r="A2684" s="195">
        <v>18</v>
      </c>
      <c r="B2684" s="195">
        <v>75</v>
      </c>
      <c r="C2684" s="195" t="s">
        <v>3246</v>
      </c>
      <c r="D2684" s="64">
        <v>9600</v>
      </c>
      <c r="E2684" s="195" t="s">
        <v>373</v>
      </c>
      <c r="F2684" s="71" t="s">
        <v>508</v>
      </c>
      <c r="G2684" s="71" t="s">
        <v>3177</v>
      </c>
      <c r="H2684" s="71" t="s">
        <v>2491</v>
      </c>
      <c r="I2684" s="71" t="s">
        <v>3035</v>
      </c>
    </row>
    <row r="2685" spans="1:9" ht="29" x14ac:dyDescent="0.35">
      <c r="A2685" s="195">
        <v>18</v>
      </c>
      <c r="B2685" s="195">
        <v>76</v>
      </c>
      <c r="C2685" s="195" t="s">
        <v>3249</v>
      </c>
      <c r="D2685" s="64">
        <v>41270</v>
      </c>
      <c r="E2685" s="195" t="s">
        <v>373</v>
      </c>
      <c r="F2685" s="71" t="s">
        <v>3020</v>
      </c>
      <c r="G2685" s="71" t="s">
        <v>3177</v>
      </c>
      <c r="H2685" s="71" t="s">
        <v>3083</v>
      </c>
      <c r="I2685" s="71" t="s">
        <v>415</v>
      </c>
    </row>
    <row r="2686" spans="1:9" ht="29" x14ac:dyDescent="0.35">
      <c r="A2686" s="195">
        <v>18</v>
      </c>
      <c r="B2686" s="195">
        <v>76</v>
      </c>
      <c r="C2686" s="195" t="s">
        <v>3251</v>
      </c>
      <c r="D2686" s="64">
        <v>11710</v>
      </c>
      <c r="E2686" s="195" t="s">
        <v>373</v>
      </c>
      <c r="F2686" s="71" t="s">
        <v>2510</v>
      </c>
      <c r="G2686" s="71" t="s">
        <v>3177</v>
      </c>
      <c r="H2686" s="71" t="s">
        <v>3083</v>
      </c>
      <c r="I2686" s="71" t="s">
        <v>415</v>
      </c>
    </row>
    <row r="2687" spans="1:9" ht="29" x14ac:dyDescent="0.35">
      <c r="A2687" s="195">
        <v>18</v>
      </c>
      <c r="B2687" s="195">
        <v>76</v>
      </c>
      <c r="C2687" s="195" t="s">
        <v>3250</v>
      </c>
      <c r="D2687" s="64">
        <v>62280</v>
      </c>
      <c r="E2687" s="195" t="s">
        <v>373</v>
      </c>
      <c r="F2687" s="71" t="s">
        <v>508</v>
      </c>
      <c r="G2687" s="71" t="s">
        <v>3177</v>
      </c>
      <c r="H2687" s="71" t="s">
        <v>2491</v>
      </c>
      <c r="I2687" s="71" t="s">
        <v>415</v>
      </c>
    </row>
    <row r="2688" spans="1:9" ht="29" x14ac:dyDescent="0.35">
      <c r="A2688" s="195">
        <v>18</v>
      </c>
      <c r="B2688" s="195">
        <v>77</v>
      </c>
      <c r="C2688" s="195" t="s">
        <v>3255</v>
      </c>
      <c r="D2688" s="64">
        <v>2220</v>
      </c>
      <c r="E2688" s="195" t="s">
        <v>366</v>
      </c>
      <c r="F2688" s="71" t="s">
        <v>3020</v>
      </c>
      <c r="G2688" s="71" t="s">
        <v>3253</v>
      </c>
      <c r="H2688" s="71" t="s">
        <v>2502</v>
      </c>
      <c r="I2688" s="71" t="s">
        <v>363</v>
      </c>
    </row>
    <row r="2689" spans="1:9" ht="29" x14ac:dyDescent="0.35">
      <c r="A2689" s="195">
        <v>18</v>
      </c>
      <c r="B2689" s="195">
        <v>77</v>
      </c>
      <c r="C2689" s="195" t="s">
        <v>3254</v>
      </c>
      <c r="D2689" s="64">
        <v>7445</v>
      </c>
      <c r="E2689" s="195" t="s">
        <v>366</v>
      </c>
      <c r="F2689" s="71" t="s">
        <v>2510</v>
      </c>
      <c r="G2689" s="71" t="s">
        <v>3253</v>
      </c>
      <c r="H2689" s="71" t="s">
        <v>2502</v>
      </c>
      <c r="I2689" s="71" t="s">
        <v>363</v>
      </c>
    </row>
    <row r="2690" spans="1:9" ht="29" x14ac:dyDescent="0.35">
      <c r="A2690" s="195">
        <v>18</v>
      </c>
      <c r="B2690" s="195">
        <v>77</v>
      </c>
      <c r="C2690" s="195" t="s">
        <v>3252</v>
      </c>
      <c r="D2690" s="64">
        <v>3620</v>
      </c>
      <c r="E2690" s="195" t="s">
        <v>366</v>
      </c>
      <c r="F2690" s="71" t="s">
        <v>508</v>
      </c>
      <c r="G2690" s="71" t="s">
        <v>3253</v>
      </c>
      <c r="H2690" s="71" t="s">
        <v>2446</v>
      </c>
      <c r="I2690" s="71" t="s">
        <v>363</v>
      </c>
    </row>
    <row r="2691" spans="1:9" ht="29" x14ac:dyDescent="0.35">
      <c r="A2691" s="195">
        <v>18</v>
      </c>
      <c r="B2691" s="195">
        <v>78</v>
      </c>
      <c r="C2691" s="195" t="s">
        <v>3256</v>
      </c>
      <c r="D2691" s="64">
        <v>1855</v>
      </c>
      <c r="E2691" s="195" t="s">
        <v>366</v>
      </c>
      <c r="F2691" s="71" t="s">
        <v>3020</v>
      </c>
      <c r="G2691" s="71" t="s">
        <v>3253</v>
      </c>
      <c r="H2691" s="71" t="s">
        <v>3022</v>
      </c>
      <c r="I2691" s="71" t="s">
        <v>363</v>
      </c>
    </row>
    <row r="2692" spans="1:9" ht="29" x14ac:dyDescent="0.35">
      <c r="A2692" s="195">
        <v>18</v>
      </c>
      <c r="B2692" s="195">
        <v>78</v>
      </c>
      <c r="C2692" s="195" t="s">
        <v>3258</v>
      </c>
      <c r="D2692" s="64">
        <v>7275</v>
      </c>
      <c r="E2692" s="195" t="s">
        <v>366</v>
      </c>
      <c r="F2692" s="71" t="s">
        <v>2510</v>
      </c>
      <c r="G2692" s="71" t="s">
        <v>3253</v>
      </c>
      <c r="H2692" s="71" t="s">
        <v>3022</v>
      </c>
      <c r="I2692" s="71" t="s">
        <v>363</v>
      </c>
    </row>
    <row r="2693" spans="1:9" ht="29" x14ac:dyDescent="0.35">
      <c r="A2693" s="195">
        <v>18</v>
      </c>
      <c r="B2693" s="195">
        <v>78</v>
      </c>
      <c r="C2693" s="195" t="s">
        <v>3257</v>
      </c>
      <c r="D2693" s="195">
        <v>765</v>
      </c>
      <c r="E2693" s="195" t="s">
        <v>366</v>
      </c>
      <c r="F2693" s="71" t="s">
        <v>508</v>
      </c>
      <c r="G2693" s="71" t="s">
        <v>3253</v>
      </c>
      <c r="H2693" s="71" t="s">
        <v>2456</v>
      </c>
      <c r="I2693" s="71" t="s">
        <v>363</v>
      </c>
    </row>
    <row r="2694" spans="1:9" ht="29" x14ac:dyDescent="0.35">
      <c r="A2694" s="195">
        <v>18</v>
      </c>
      <c r="B2694" s="195">
        <v>79</v>
      </c>
      <c r="C2694" s="195" t="s">
        <v>3259</v>
      </c>
      <c r="D2694" s="195">
        <v>475</v>
      </c>
      <c r="E2694" s="195" t="s">
        <v>373</v>
      </c>
      <c r="F2694" s="71" t="s">
        <v>3020</v>
      </c>
      <c r="G2694" s="71" t="s">
        <v>3253</v>
      </c>
      <c r="H2694" s="71" t="s">
        <v>3022</v>
      </c>
      <c r="I2694" s="71" t="s">
        <v>371</v>
      </c>
    </row>
    <row r="2695" spans="1:9" ht="29" x14ac:dyDescent="0.35">
      <c r="A2695" s="195">
        <v>18</v>
      </c>
      <c r="B2695" s="195">
        <v>79</v>
      </c>
      <c r="C2695" s="195" t="s">
        <v>3261</v>
      </c>
      <c r="D2695" s="64">
        <v>2075</v>
      </c>
      <c r="E2695" s="195" t="s">
        <v>373</v>
      </c>
      <c r="F2695" s="71" t="s">
        <v>2510</v>
      </c>
      <c r="G2695" s="71" t="s">
        <v>3253</v>
      </c>
      <c r="H2695" s="71" t="s">
        <v>3022</v>
      </c>
      <c r="I2695" s="71" t="s">
        <v>371</v>
      </c>
    </row>
    <row r="2696" spans="1:9" ht="29" x14ac:dyDescent="0.35">
      <c r="A2696" s="195">
        <v>18</v>
      </c>
      <c r="B2696" s="195">
        <v>79</v>
      </c>
      <c r="C2696" s="195" t="s">
        <v>3260</v>
      </c>
      <c r="D2696" s="195">
        <v>475</v>
      </c>
      <c r="E2696" s="195" t="s">
        <v>373</v>
      </c>
      <c r="F2696" s="71" t="s">
        <v>508</v>
      </c>
      <c r="G2696" s="71" t="s">
        <v>3253</v>
      </c>
      <c r="H2696" s="71" t="s">
        <v>2456</v>
      </c>
      <c r="I2696" s="71" t="s">
        <v>371</v>
      </c>
    </row>
    <row r="2697" spans="1:9" ht="43.5" x14ac:dyDescent="0.35">
      <c r="A2697" s="195">
        <v>18</v>
      </c>
      <c r="B2697" s="195">
        <v>80</v>
      </c>
      <c r="C2697" s="195" t="s">
        <v>3262</v>
      </c>
      <c r="D2697" s="195">
        <v>515</v>
      </c>
      <c r="E2697" s="195" t="s">
        <v>373</v>
      </c>
      <c r="F2697" s="71" t="s">
        <v>3020</v>
      </c>
      <c r="G2697" s="71" t="s">
        <v>3253</v>
      </c>
      <c r="H2697" s="71" t="s">
        <v>3022</v>
      </c>
      <c r="I2697" s="71" t="s">
        <v>2805</v>
      </c>
    </row>
    <row r="2698" spans="1:9" ht="43.5" x14ac:dyDescent="0.35">
      <c r="A2698" s="195">
        <v>18</v>
      </c>
      <c r="B2698" s="195">
        <v>80</v>
      </c>
      <c r="C2698" s="195" t="s">
        <v>3263</v>
      </c>
      <c r="D2698" s="64">
        <v>1650</v>
      </c>
      <c r="E2698" s="195" t="s">
        <v>373</v>
      </c>
      <c r="F2698" s="71" t="s">
        <v>2510</v>
      </c>
      <c r="G2698" s="71" t="s">
        <v>3253</v>
      </c>
      <c r="H2698" s="71" t="s">
        <v>3022</v>
      </c>
      <c r="I2698" s="71" t="s">
        <v>2805</v>
      </c>
    </row>
    <row r="2699" spans="1:9" ht="43.5" x14ac:dyDescent="0.35">
      <c r="A2699" s="195">
        <v>18</v>
      </c>
      <c r="B2699" s="195">
        <v>80</v>
      </c>
      <c r="C2699" s="195" t="s">
        <v>3264</v>
      </c>
      <c r="D2699" s="195">
        <v>135</v>
      </c>
      <c r="E2699" s="195" t="s">
        <v>373</v>
      </c>
      <c r="F2699" s="71" t="s">
        <v>508</v>
      </c>
      <c r="G2699" s="71" t="s">
        <v>3253</v>
      </c>
      <c r="H2699" s="71" t="s">
        <v>2456</v>
      </c>
      <c r="I2699" s="71" t="s">
        <v>2805</v>
      </c>
    </row>
    <row r="2700" spans="1:9" ht="43.5" x14ac:dyDescent="0.35">
      <c r="A2700" s="195">
        <v>18</v>
      </c>
      <c r="B2700" s="195">
        <v>81</v>
      </c>
      <c r="C2700" s="195" t="s">
        <v>3267</v>
      </c>
      <c r="D2700" s="195">
        <v>300</v>
      </c>
      <c r="E2700" s="195" t="s">
        <v>373</v>
      </c>
      <c r="F2700" s="71" t="s">
        <v>3020</v>
      </c>
      <c r="G2700" s="71" t="s">
        <v>3253</v>
      </c>
      <c r="H2700" s="71" t="s">
        <v>3022</v>
      </c>
      <c r="I2700" s="71" t="s">
        <v>2827</v>
      </c>
    </row>
    <row r="2701" spans="1:9" ht="43.5" x14ac:dyDescent="0.35">
      <c r="A2701" s="195">
        <v>18</v>
      </c>
      <c r="B2701" s="195">
        <v>81</v>
      </c>
      <c r="C2701" s="195" t="s">
        <v>3265</v>
      </c>
      <c r="D2701" s="64">
        <v>1985</v>
      </c>
      <c r="E2701" s="195" t="s">
        <v>373</v>
      </c>
      <c r="F2701" s="71" t="s">
        <v>2510</v>
      </c>
      <c r="G2701" s="71" t="s">
        <v>3253</v>
      </c>
      <c r="H2701" s="71" t="s">
        <v>3022</v>
      </c>
      <c r="I2701" s="71" t="s">
        <v>2827</v>
      </c>
    </row>
    <row r="2702" spans="1:9" ht="43.5" x14ac:dyDescent="0.35">
      <c r="A2702" s="195">
        <v>18</v>
      </c>
      <c r="B2702" s="195">
        <v>81</v>
      </c>
      <c r="C2702" s="195" t="s">
        <v>3266</v>
      </c>
      <c r="D2702" s="195">
        <v>50</v>
      </c>
      <c r="E2702" s="195" t="s">
        <v>373</v>
      </c>
      <c r="F2702" s="71" t="s">
        <v>508</v>
      </c>
      <c r="G2702" s="71" t="s">
        <v>3253</v>
      </c>
      <c r="H2702" s="71" t="s">
        <v>2456</v>
      </c>
      <c r="I2702" s="71" t="s">
        <v>2827</v>
      </c>
    </row>
    <row r="2703" spans="1:9" ht="43.5" x14ac:dyDescent="0.35">
      <c r="A2703" s="195">
        <v>18</v>
      </c>
      <c r="B2703" s="195">
        <v>82</v>
      </c>
      <c r="C2703" s="195" t="s">
        <v>3270</v>
      </c>
      <c r="D2703" s="195">
        <v>170</v>
      </c>
      <c r="E2703" s="195" t="s">
        <v>373</v>
      </c>
      <c r="F2703" s="71" t="s">
        <v>3020</v>
      </c>
      <c r="G2703" s="71" t="s">
        <v>3253</v>
      </c>
      <c r="H2703" s="71" t="s">
        <v>3022</v>
      </c>
      <c r="I2703" s="71" t="s">
        <v>3035</v>
      </c>
    </row>
    <row r="2704" spans="1:9" ht="43.5" x14ac:dyDescent="0.35">
      <c r="A2704" s="195">
        <v>18</v>
      </c>
      <c r="B2704" s="195">
        <v>82</v>
      </c>
      <c r="C2704" s="195" t="s">
        <v>3269</v>
      </c>
      <c r="D2704" s="195">
        <v>600</v>
      </c>
      <c r="E2704" s="195" t="s">
        <v>373</v>
      </c>
      <c r="F2704" s="71" t="s">
        <v>2510</v>
      </c>
      <c r="G2704" s="71" t="s">
        <v>3253</v>
      </c>
      <c r="H2704" s="71" t="s">
        <v>3022</v>
      </c>
      <c r="I2704" s="71" t="s">
        <v>3035</v>
      </c>
    </row>
    <row r="2705" spans="1:9" ht="43.5" x14ac:dyDescent="0.35">
      <c r="A2705" s="195">
        <v>18</v>
      </c>
      <c r="B2705" s="195">
        <v>82</v>
      </c>
      <c r="C2705" s="195" t="s">
        <v>3268</v>
      </c>
      <c r="D2705" s="195">
        <v>0</v>
      </c>
      <c r="E2705" s="195" t="s">
        <v>373</v>
      </c>
      <c r="F2705" s="71" t="s">
        <v>508</v>
      </c>
      <c r="G2705" s="71" t="s">
        <v>3253</v>
      </c>
      <c r="H2705" s="71" t="s">
        <v>2456</v>
      </c>
      <c r="I2705" s="71" t="s">
        <v>3035</v>
      </c>
    </row>
    <row r="2706" spans="1:9" ht="29" x14ac:dyDescent="0.35">
      <c r="A2706" s="195">
        <v>18</v>
      </c>
      <c r="B2706" s="195">
        <v>83</v>
      </c>
      <c r="C2706" s="195" t="s">
        <v>3271</v>
      </c>
      <c r="D2706" s="195">
        <v>400</v>
      </c>
      <c r="E2706" s="195" t="s">
        <v>373</v>
      </c>
      <c r="F2706" s="71" t="s">
        <v>3020</v>
      </c>
      <c r="G2706" s="71" t="s">
        <v>3253</v>
      </c>
      <c r="H2706" s="71" t="s">
        <v>3022</v>
      </c>
      <c r="I2706" s="71" t="s">
        <v>415</v>
      </c>
    </row>
    <row r="2707" spans="1:9" ht="29" x14ac:dyDescent="0.35">
      <c r="A2707" s="195">
        <v>18</v>
      </c>
      <c r="B2707" s="195">
        <v>83</v>
      </c>
      <c r="C2707" s="195" t="s">
        <v>3272</v>
      </c>
      <c r="D2707" s="195">
        <v>965</v>
      </c>
      <c r="E2707" s="195" t="s">
        <v>373</v>
      </c>
      <c r="F2707" s="71" t="s">
        <v>2510</v>
      </c>
      <c r="G2707" s="71" t="s">
        <v>3253</v>
      </c>
      <c r="H2707" s="71" t="s">
        <v>3022</v>
      </c>
      <c r="I2707" s="71" t="s">
        <v>415</v>
      </c>
    </row>
    <row r="2708" spans="1:9" ht="29" x14ac:dyDescent="0.35">
      <c r="A2708" s="195">
        <v>18</v>
      </c>
      <c r="B2708" s="195">
        <v>83</v>
      </c>
      <c r="C2708" s="195" t="s">
        <v>3273</v>
      </c>
      <c r="D2708" s="195">
        <v>105</v>
      </c>
      <c r="E2708" s="195" t="s">
        <v>373</v>
      </c>
      <c r="F2708" s="71" t="s">
        <v>508</v>
      </c>
      <c r="G2708" s="71" t="s">
        <v>3253</v>
      </c>
      <c r="H2708" s="71" t="s">
        <v>2456</v>
      </c>
      <c r="I2708" s="71" t="s">
        <v>415</v>
      </c>
    </row>
    <row r="2709" spans="1:9" ht="43.5" x14ac:dyDescent="0.35">
      <c r="A2709" s="195">
        <v>18</v>
      </c>
      <c r="B2709" s="195">
        <v>84</v>
      </c>
      <c r="C2709" s="195" t="s">
        <v>3274</v>
      </c>
      <c r="D2709" s="195">
        <v>180</v>
      </c>
      <c r="E2709" s="195" t="s">
        <v>366</v>
      </c>
      <c r="F2709" s="71" t="s">
        <v>3020</v>
      </c>
      <c r="G2709" s="71" t="s">
        <v>3253</v>
      </c>
      <c r="H2709" s="71" t="s">
        <v>3044</v>
      </c>
      <c r="I2709" s="71" t="s">
        <v>363</v>
      </c>
    </row>
    <row r="2710" spans="1:9" ht="43.5" x14ac:dyDescent="0.35">
      <c r="A2710" s="195">
        <v>18</v>
      </c>
      <c r="B2710" s="195">
        <v>84</v>
      </c>
      <c r="C2710" s="195" t="s">
        <v>3276</v>
      </c>
      <c r="D2710" s="195">
        <v>70</v>
      </c>
      <c r="E2710" s="195" t="s">
        <v>366</v>
      </c>
      <c r="F2710" s="71" t="s">
        <v>2510</v>
      </c>
      <c r="G2710" s="71" t="s">
        <v>3253</v>
      </c>
      <c r="H2710" s="71" t="s">
        <v>3044</v>
      </c>
      <c r="I2710" s="71" t="s">
        <v>363</v>
      </c>
    </row>
    <row r="2711" spans="1:9" ht="29" x14ac:dyDescent="0.35">
      <c r="A2711" s="195">
        <v>18</v>
      </c>
      <c r="B2711" s="195">
        <v>84</v>
      </c>
      <c r="C2711" s="195" t="s">
        <v>3275</v>
      </c>
      <c r="D2711" s="64">
        <v>1760</v>
      </c>
      <c r="E2711" s="195" t="s">
        <v>366</v>
      </c>
      <c r="F2711" s="71" t="s">
        <v>508</v>
      </c>
      <c r="G2711" s="71" t="s">
        <v>3253</v>
      </c>
      <c r="H2711" s="71" t="s">
        <v>3042</v>
      </c>
      <c r="I2711" s="71" t="s">
        <v>363</v>
      </c>
    </row>
    <row r="2712" spans="1:9" ht="43.5" x14ac:dyDescent="0.35">
      <c r="A2712" s="195">
        <v>18</v>
      </c>
      <c r="B2712" s="195">
        <v>85</v>
      </c>
      <c r="C2712" s="195" t="s">
        <v>3277</v>
      </c>
      <c r="D2712" s="195">
        <v>15</v>
      </c>
      <c r="E2712" s="195" t="s">
        <v>373</v>
      </c>
      <c r="F2712" s="71" t="s">
        <v>3020</v>
      </c>
      <c r="G2712" s="71" t="s">
        <v>3253</v>
      </c>
      <c r="H2712" s="71" t="s">
        <v>3044</v>
      </c>
      <c r="I2712" s="71" t="s">
        <v>371</v>
      </c>
    </row>
    <row r="2713" spans="1:9" ht="43.5" x14ac:dyDescent="0.35">
      <c r="A2713" s="195">
        <v>18</v>
      </c>
      <c r="B2713" s="195">
        <v>85</v>
      </c>
      <c r="C2713" s="195" t="s">
        <v>3278</v>
      </c>
      <c r="D2713" s="195">
        <v>15</v>
      </c>
      <c r="E2713" s="195" t="s">
        <v>373</v>
      </c>
      <c r="F2713" s="71" t="s">
        <v>2510</v>
      </c>
      <c r="G2713" s="71" t="s">
        <v>3253</v>
      </c>
      <c r="H2713" s="71" t="s">
        <v>3044</v>
      </c>
      <c r="I2713" s="71" t="s">
        <v>371</v>
      </c>
    </row>
    <row r="2714" spans="1:9" ht="29" x14ac:dyDescent="0.35">
      <c r="A2714" s="195">
        <v>18</v>
      </c>
      <c r="B2714" s="195">
        <v>85</v>
      </c>
      <c r="C2714" s="195" t="s">
        <v>3279</v>
      </c>
      <c r="D2714" s="195">
        <v>620</v>
      </c>
      <c r="E2714" s="195" t="s">
        <v>373</v>
      </c>
      <c r="F2714" s="71" t="s">
        <v>508</v>
      </c>
      <c r="G2714" s="71" t="s">
        <v>3253</v>
      </c>
      <c r="H2714" s="71" t="s">
        <v>3042</v>
      </c>
      <c r="I2714" s="71" t="s">
        <v>371</v>
      </c>
    </row>
    <row r="2715" spans="1:9" ht="43.5" x14ac:dyDescent="0.35">
      <c r="A2715" s="195">
        <v>18</v>
      </c>
      <c r="B2715" s="195">
        <v>86</v>
      </c>
      <c r="C2715" s="195" t="s">
        <v>3281</v>
      </c>
      <c r="D2715" s="195">
        <v>0</v>
      </c>
      <c r="E2715" s="195" t="s">
        <v>373</v>
      </c>
      <c r="F2715" s="71" t="s">
        <v>3020</v>
      </c>
      <c r="G2715" s="71" t="s">
        <v>3253</v>
      </c>
      <c r="H2715" s="71" t="s">
        <v>3044</v>
      </c>
      <c r="I2715" s="71" t="s">
        <v>2805</v>
      </c>
    </row>
    <row r="2716" spans="1:9" ht="43.5" x14ac:dyDescent="0.35">
      <c r="A2716" s="195">
        <v>18</v>
      </c>
      <c r="B2716" s="195">
        <v>86</v>
      </c>
      <c r="C2716" s="195" t="s">
        <v>3280</v>
      </c>
      <c r="D2716" s="195">
        <v>0</v>
      </c>
      <c r="E2716" s="195" t="s">
        <v>373</v>
      </c>
      <c r="F2716" s="71" t="s">
        <v>2510</v>
      </c>
      <c r="G2716" s="71" t="s">
        <v>3253</v>
      </c>
      <c r="H2716" s="71" t="s">
        <v>3044</v>
      </c>
      <c r="I2716" s="71" t="s">
        <v>2805</v>
      </c>
    </row>
    <row r="2717" spans="1:9" ht="43.5" x14ac:dyDescent="0.35">
      <c r="A2717" s="195">
        <v>18</v>
      </c>
      <c r="B2717" s="195">
        <v>86</v>
      </c>
      <c r="C2717" s="195" t="s">
        <v>3282</v>
      </c>
      <c r="D2717" s="195">
        <v>325</v>
      </c>
      <c r="E2717" s="195" t="s">
        <v>373</v>
      </c>
      <c r="F2717" s="71" t="s">
        <v>508</v>
      </c>
      <c r="G2717" s="71" t="s">
        <v>3253</v>
      </c>
      <c r="H2717" s="71" t="s">
        <v>3042</v>
      </c>
      <c r="I2717" s="71" t="s">
        <v>2805</v>
      </c>
    </row>
    <row r="2718" spans="1:9" ht="43.5" x14ac:dyDescent="0.35">
      <c r="A2718" s="195">
        <v>18</v>
      </c>
      <c r="B2718" s="195">
        <v>87</v>
      </c>
      <c r="C2718" s="195" t="s">
        <v>3284</v>
      </c>
      <c r="D2718" s="195">
        <v>4</v>
      </c>
      <c r="E2718" s="195" t="s">
        <v>373</v>
      </c>
      <c r="F2718" s="71" t="s">
        <v>3020</v>
      </c>
      <c r="G2718" s="71" t="s">
        <v>3253</v>
      </c>
      <c r="H2718" s="71" t="s">
        <v>3044</v>
      </c>
      <c r="I2718" s="71" t="s">
        <v>2827</v>
      </c>
    </row>
    <row r="2719" spans="1:9" ht="43.5" x14ac:dyDescent="0.35">
      <c r="A2719" s="195">
        <v>18</v>
      </c>
      <c r="B2719" s="195">
        <v>87</v>
      </c>
      <c r="C2719" s="195" t="s">
        <v>3283</v>
      </c>
      <c r="D2719" s="195">
        <v>10</v>
      </c>
      <c r="E2719" s="195" t="s">
        <v>373</v>
      </c>
      <c r="F2719" s="71" t="s">
        <v>2510</v>
      </c>
      <c r="G2719" s="71" t="s">
        <v>3253</v>
      </c>
      <c r="H2719" s="71" t="s">
        <v>3044</v>
      </c>
      <c r="I2719" s="71" t="s">
        <v>2827</v>
      </c>
    </row>
    <row r="2720" spans="1:9" ht="43.5" x14ac:dyDescent="0.35">
      <c r="A2720" s="195">
        <v>18</v>
      </c>
      <c r="B2720" s="195">
        <v>87</v>
      </c>
      <c r="C2720" s="195" t="s">
        <v>3285</v>
      </c>
      <c r="D2720" s="195">
        <v>455</v>
      </c>
      <c r="E2720" s="195" t="s">
        <v>373</v>
      </c>
      <c r="F2720" s="71" t="s">
        <v>508</v>
      </c>
      <c r="G2720" s="71" t="s">
        <v>3253</v>
      </c>
      <c r="H2720" s="71" t="s">
        <v>3042</v>
      </c>
      <c r="I2720" s="71" t="s">
        <v>2827</v>
      </c>
    </row>
    <row r="2721" spans="1:9" ht="43.5" x14ac:dyDescent="0.35">
      <c r="A2721" s="195">
        <v>18</v>
      </c>
      <c r="B2721" s="195">
        <v>88</v>
      </c>
      <c r="C2721" s="195" t="s">
        <v>3287</v>
      </c>
      <c r="D2721" s="195">
        <v>50</v>
      </c>
      <c r="E2721" s="195" t="s">
        <v>373</v>
      </c>
      <c r="F2721" s="71" t="s">
        <v>3020</v>
      </c>
      <c r="G2721" s="71" t="s">
        <v>3253</v>
      </c>
      <c r="H2721" s="71" t="s">
        <v>3044</v>
      </c>
      <c r="I2721" s="71" t="s">
        <v>3035</v>
      </c>
    </row>
    <row r="2722" spans="1:9" ht="43.5" x14ac:dyDescent="0.35">
      <c r="A2722" s="195">
        <v>18</v>
      </c>
      <c r="B2722" s="195">
        <v>88</v>
      </c>
      <c r="C2722" s="195" t="s">
        <v>3286</v>
      </c>
      <c r="D2722" s="195">
        <v>20</v>
      </c>
      <c r="E2722" s="195" t="s">
        <v>373</v>
      </c>
      <c r="F2722" s="71" t="s">
        <v>2510</v>
      </c>
      <c r="G2722" s="71" t="s">
        <v>3253</v>
      </c>
      <c r="H2722" s="71" t="s">
        <v>3044</v>
      </c>
      <c r="I2722" s="71" t="s">
        <v>3035</v>
      </c>
    </row>
    <row r="2723" spans="1:9" ht="43.5" x14ac:dyDescent="0.35">
      <c r="A2723" s="195">
        <v>18</v>
      </c>
      <c r="B2723" s="195">
        <v>88</v>
      </c>
      <c r="C2723" s="195" t="s">
        <v>3288</v>
      </c>
      <c r="D2723" s="195">
        <v>140</v>
      </c>
      <c r="E2723" s="195" t="s">
        <v>373</v>
      </c>
      <c r="F2723" s="71" t="s">
        <v>508</v>
      </c>
      <c r="G2723" s="71" t="s">
        <v>3253</v>
      </c>
      <c r="H2723" s="71" t="s">
        <v>3042</v>
      </c>
      <c r="I2723" s="71" t="s">
        <v>3035</v>
      </c>
    </row>
    <row r="2724" spans="1:9" ht="43.5" x14ac:dyDescent="0.35">
      <c r="A2724" s="195">
        <v>18</v>
      </c>
      <c r="B2724" s="195">
        <v>89</v>
      </c>
      <c r="C2724" s="195" t="s">
        <v>3290</v>
      </c>
      <c r="D2724" s="195">
        <v>105</v>
      </c>
      <c r="E2724" s="195" t="s">
        <v>373</v>
      </c>
      <c r="F2724" s="71" t="s">
        <v>3020</v>
      </c>
      <c r="G2724" s="71" t="s">
        <v>3253</v>
      </c>
      <c r="H2724" s="71" t="s">
        <v>3044</v>
      </c>
      <c r="I2724" s="71" t="s">
        <v>415</v>
      </c>
    </row>
    <row r="2725" spans="1:9" ht="43.5" x14ac:dyDescent="0.35">
      <c r="A2725" s="195">
        <v>18</v>
      </c>
      <c r="B2725" s="195">
        <v>89</v>
      </c>
      <c r="C2725" s="195" t="s">
        <v>3291</v>
      </c>
      <c r="D2725" s="195">
        <v>30</v>
      </c>
      <c r="E2725" s="195" t="s">
        <v>373</v>
      </c>
      <c r="F2725" s="71" t="s">
        <v>2510</v>
      </c>
      <c r="G2725" s="71" t="s">
        <v>3253</v>
      </c>
      <c r="H2725" s="71" t="s">
        <v>3044</v>
      </c>
      <c r="I2725" s="71" t="s">
        <v>415</v>
      </c>
    </row>
    <row r="2726" spans="1:9" ht="29" x14ac:dyDescent="0.35">
      <c r="A2726" s="195">
        <v>18</v>
      </c>
      <c r="B2726" s="195">
        <v>89</v>
      </c>
      <c r="C2726" s="195" t="s">
        <v>3289</v>
      </c>
      <c r="D2726" s="195">
        <v>225</v>
      </c>
      <c r="E2726" s="195" t="s">
        <v>373</v>
      </c>
      <c r="F2726" s="71" t="s">
        <v>508</v>
      </c>
      <c r="G2726" s="71" t="s">
        <v>3253</v>
      </c>
      <c r="H2726" s="71" t="s">
        <v>3042</v>
      </c>
      <c r="I2726" s="71" t="s">
        <v>415</v>
      </c>
    </row>
    <row r="2727" spans="1:9" ht="43.5" x14ac:dyDescent="0.35">
      <c r="A2727" s="195">
        <v>18</v>
      </c>
      <c r="B2727" s="195">
        <v>90</v>
      </c>
      <c r="C2727" s="195" t="s">
        <v>3292</v>
      </c>
      <c r="D2727" s="195">
        <v>130</v>
      </c>
      <c r="E2727" s="195" t="s">
        <v>366</v>
      </c>
      <c r="F2727" s="71" t="s">
        <v>3020</v>
      </c>
      <c r="G2727" s="71" t="s">
        <v>3253</v>
      </c>
      <c r="H2727" s="71" t="s">
        <v>3064</v>
      </c>
      <c r="I2727" s="71" t="s">
        <v>363</v>
      </c>
    </row>
    <row r="2728" spans="1:9" ht="43.5" x14ac:dyDescent="0.35">
      <c r="A2728" s="195">
        <v>18</v>
      </c>
      <c r="B2728" s="195">
        <v>90</v>
      </c>
      <c r="C2728" s="195" t="s">
        <v>3293</v>
      </c>
      <c r="D2728" s="195">
        <v>10</v>
      </c>
      <c r="E2728" s="195" t="s">
        <v>366</v>
      </c>
      <c r="F2728" s="71" t="s">
        <v>2510</v>
      </c>
      <c r="G2728" s="71" t="s">
        <v>3253</v>
      </c>
      <c r="H2728" s="71" t="s">
        <v>3064</v>
      </c>
      <c r="I2728" s="71" t="s">
        <v>363</v>
      </c>
    </row>
    <row r="2729" spans="1:9" ht="29" x14ac:dyDescent="0.35">
      <c r="A2729" s="195">
        <v>18</v>
      </c>
      <c r="B2729" s="195">
        <v>90</v>
      </c>
      <c r="C2729" s="195" t="s">
        <v>3294</v>
      </c>
      <c r="D2729" s="64">
        <v>1040</v>
      </c>
      <c r="E2729" s="195" t="s">
        <v>366</v>
      </c>
      <c r="F2729" s="71" t="s">
        <v>508</v>
      </c>
      <c r="G2729" s="71" t="s">
        <v>3253</v>
      </c>
      <c r="H2729" s="71" t="s">
        <v>3062</v>
      </c>
      <c r="I2729" s="71" t="s">
        <v>363</v>
      </c>
    </row>
    <row r="2730" spans="1:9" ht="43.5" x14ac:dyDescent="0.35">
      <c r="A2730" s="195">
        <v>18</v>
      </c>
      <c r="B2730" s="195">
        <v>91</v>
      </c>
      <c r="C2730" s="195" t="s">
        <v>3297</v>
      </c>
      <c r="D2730" s="195">
        <v>10</v>
      </c>
      <c r="E2730" s="195" t="s">
        <v>373</v>
      </c>
      <c r="F2730" s="71" t="s">
        <v>3020</v>
      </c>
      <c r="G2730" s="71" t="s">
        <v>3253</v>
      </c>
      <c r="H2730" s="71" t="s">
        <v>3064</v>
      </c>
      <c r="I2730" s="71" t="s">
        <v>371</v>
      </c>
    </row>
    <row r="2731" spans="1:9" ht="43.5" x14ac:dyDescent="0.35">
      <c r="A2731" s="195">
        <v>18</v>
      </c>
      <c r="B2731" s="195">
        <v>91</v>
      </c>
      <c r="C2731" s="195" t="s">
        <v>3296</v>
      </c>
      <c r="D2731" s="195">
        <v>4</v>
      </c>
      <c r="E2731" s="195" t="s">
        <v>373</v>
      </c>
      <c r="F2731" s="71" t="s">
        <v>2510</v>
      </c>
      <c r="G2731" s="71" t="s">
        <v>3253</v>
      </c>
      <c r="H2731" s="71" t="s">
        <v>3064</v>
      </c>
      <c r="I2731" s="71" t="s">
        <v>371</v>
      </c>
    </row>
    <row r="2732" spans="1:9" ht="29" x14ac:dyDescent="0.35">
      <c r="A2732" s="195">
        <v>18</v>
      </c>
      <c r="B2732" s="195">
        <v>91</v>
      </c>
      <c r="C2732" s="195" t="s">
        <v>3295</v>
      </c>
      <c r="D2732" s="195">
        <v>335</v>
      </c>
      <c r="E2732" s="195" t="s">
        <v>373</v>
      </c>
      <c r="F2732" s="71" t="s">
        <v>508</v>
      </c>
      <c r="G2732" s="71" t="s">
        <v>3253</v>
      </c>
      <c r="H2732" s="71" t="s">
        <v>3062</v>
      </c>
      <c r="I2732" s="71" t="s">
        <v>371</v>
      </c>
    </row>
    <row r="2733" spans="1:9" ht="43.5" x14ac:dyDescent="0.35">
      <c r="A2733" s="195">
        <v>18</v>
      </c>
      <c r="B2733" s="195">
        <v>92</v>
      </c>
      <c r="C2733" s="195" t="s">
        <v>3300</v>
      </c>
      <c r="D2733" s="195">
        <v>40</v>
      </c>
      <c r="E2733" s="195" t="s">
        <v>373</v>
      </c>
      <c r="F2733" s="71" t="s">
        <v>3020</v>
      </c>
      <c r="G2733" s="71" t="s">
        <v>3253</v>
      </c>
      <c r="H2733" s="71" t="s">
        <v>3064</v>
      </c>
      <c r="I2733" s="71" t="s">
        <v>2805</v>
      </c>
    </row>
    <row r="2734" spans="1:9" ht="43.5" x14ac:dyDescent="0.35">
      <c r="A2734" s="195">
        <v>18</v>
      </c>
      <c r="B2734" s="195">
        <v>92</v>
      </c>
      <c r="C2734" s="195" t="s">
        <v>3299</v>
      </c>
      <c r="D2734" s="195">
        <v>0</v>
      </c>
      <c r="E2734" s="195" t="s">
        <v>373</v>
      </c>
      <c r="F2734" s="71" t="s">
        <v>2510</v>
      </c>
      <c r="G2734" s="71" t="s">
        <v>3253</v>
      </c>
      <c r="H2734" s="71" t="s">
        <v>3064</v>
      </c>
      <c r="I2734" s="71" t="s">
        <v>2805</v>
      </c>
    </row>
    <row r="2735" spans="1:9" ht="43.5" x14ac:dyDescent="0.35">
      <c r="A2735" s="195">
        <v>18</v>
      </c>
      <c r="B2735" s="195">
        <v>92</v>
      </c>
      <c r="C2735" s="195" t="s">
        <v>3298</v>
      </c>
      <c r="D2735" s="195">
        <v>175</v>
      </c>
      <c r="E2735" s="195" t="s">
        <v>373</v>
      </c>
      <c r="F2735" s="71" t="s">
        <v>508</v>
      </c>
      <c r="G2735" s="71" t="s">
        <v>3253</v>
      </c>
      <c r="H2735" s="71" t="s">
        <v>3062</v>
      </c>
      <c r="I2735" s="71" t="s">
        <v>2805</v>
      </c>
    </row>
    <row r="2736" spans="1:9" ht="43.5" x14ac:dyDescent="0.35">
      <c r="A2736" s="195">
        <v>18</v>
      </c>
      <c r="B2736" s="195">
        <v>93</v>
      </c>
      <c r="C2736" s="195" t="s">
        <v>3303</v>
      </c>
      <c r="D2736" s="195">
        <v>15</v>
      </c>
      <c r="E2736" s="195" t="s">
        <v>373</v>
      </c>
      <c r="F2736" s="71" t="s">
        <v>3020</v>
      </c>
      <c r="G2736" s="71" t="s">
        <v>3253</v>
      </c>
      <c r="H2736" s="71" t="s">
        <v>3064</v>
      </c>
      <c r="I2736" s="71" t="s">
        <v>2827</v>
      </c>
    </row>
    <row r="2737" spans="1:9" ht="43.5" x14ac:dyDescent="0.35">
      <c r="A2737" s="195">
        <v>18</v>
      </c>
      <c r="B2737" s="195">
        <v>93</v>
      </c>
      <c r="C2737" s="195" t="s">
        <v>3302</v>
      </c>
      <c r="D2737" s="195">
        <v>0</v>
      </c>
      <c r="E2737" s="195" t="s">
        <v>373</v>
      </c>
      <c r="F2737" s="71" t="s">
        <v>2510</v>
      </c>
      <c r="G2737" s="71" t="s">
        <v>3253</v>
      </c>
      <c r="H2737" s="71" t="s">
        <v>3064</v>
      </c>
      <c r="I2737" s="71" t="s">
        <v>2827</v>
      </c>
    </row>
    <row r="2738" spans="1:9" ht="43.5" x14ac:dyDescent="0.35">
      <c r="A2738" s="195">
        <v>18</v>
      </c>
      <c r="B2738" s="195">
        <v>93</v>
      </c>
      <c r="C2738" s="195" t="s">
        <v>3301</v>
      </c>
      <c r="D2738" s="195">
        <v>260</v>
      </c>
      <c r="E2738" s="195" t="s">
        <v>373</v>
      </c>
      <c r="F2738" s="71" t="s">
        <v>508</v>
      </c>
      <c r="G2738" s="71" t="s">
        <v>3253</v>
      </c>
      <c r="H2738" s="71" t="s">
        <v>3062</v>
      </c>
      <c r="I2738" s="71" t="s">
        <v>2827</v>
      </c>
    </row>
    <row r="2739" spans="1:9" ht="43.5" x14ac:dyDescent="0.35">
      <c r="A2739" s="195">
        <v>18</v>
      </c>
      <c r="B2739" s="195">
        <v>94</v>
      </c>
      <c r="C2739" s="195" t="s">
        <v>3304</v>
      </c>
      <c r="D2739" s="195">
        <v>0</v>
      </c>
      <c r="E2739" s="195" t="s">
        <v>373</v>
      </c>
      <c r="F2739" s="71" t="s">
        <v>3020</v>
      </c>
      <c r="G2739" s="71" t="s">
        <v>3253</v>
      </c>
      <c r="H2739" s="71" t="s">
        <v>3064</v>
      </c>
      <c r="I2739" s="71" t="s">
        <v>3035</v>
      </c>
    </row>
    <row r="2740" spans="1:9" ht="43.5" x14ac:dyDescent="0.35">
      <c r="A2740" s="195">
        <v>18</v>
      </c>
      <c r="B2740" s="195">
        <v>94</v>
      </c>
      <c r="C2740" s="195" t="s">
        <v>3305</v>
      </c>
      <c r="D2740" s="195">
        <v>0</v>
      </c>
      <c r="E2740" s="195" t="s">
        <v>373</v>
      </c>
      <c r="F2740" s="71" t="s">
        <v>2510</v>
      </c>
      <c r="G2740" s="71" t="s">
        <v>3253</v>
      </c>
      <c r="H2740" s="71" t="s">
        <v>3064</v>
      </c>
      <c r="I2740" s="71" t="s">
        <v>3035</v>
      </c>
    </row>
    <row r="2741" spans="1:9" ht="43.5" x14ac:dyDescent="0.35">
      <c r="A2741" s="195">
        <v>18</v>
      </c>
      <c r="B2741" s="195">
        <v>94</v>
      </c>
      <c r="C2741" s="195" t="s">
        <v>3306</v>
      </c>
      <c r="D2741" s="195">
        <v>140</v>
      </c>
      <c r="E2741" s="195" t="s">
        <v>373</v>
      </c>
      <c r="F2741" s="71" t="s">
        <v>508</v>
      </c>
      <c r="G2741" s="71" t="s">
        <v>3253</v>
      </c>
      <c r="H2741" s="71" t="s">
        <v>3062</v>
      </c>
      <c r="I2741" s="71" t="s">
        <v>3035</v>
      </c>
    </row>
    <row r="2742" spans="1:9" ht="43.5" x14ac:dyDescent="0.35">
      <c r="A2742" s="195">
        <v>18</v>
      </c>
      <c r="B2742" s="195">
        <v>95</v>
      </c>
      <c r="C2742" s="195" t="s">
        <v>3309</v>
      </c>
      <c r="D2742" s="195">
        <v>65</v>
      </c>
      <c r="E2742" s="195" t="s">
        <v>373</v>
      </c>
      <c r="F2742" s="71" t="s">
        <v>3020</v>
      </c>
      <c r="G2742" s="71" t="s">
        <v>3253</v>
      </c>
      <c r="H2742" s="71" t="s">
        <v>3064</v>
      </c>
      <c r="I2742" s="71" t="s">
        <v>415</v>
      </c>
    </row>
    <row r="2743" spans="1:9" ht="43.5" x14ac:dyDescent="0.35">
      <c r="A2743" s="195">
        <v>18</v>
      </c>
      <c r="B2743" s="195">
        <v>95</v>
      </c>
      <c r="C2743" s="195" t="s">
        <v>3307</v>
      </c>
      <c r="D2743" s="195">
        <v>4</v>
      </c>
      <c r="E2743" s="195" t="s">
        <v>373</v>
      </c>
      <c r="F2743" s="71" t="s">
        <v>2510</v>
      </c>
      <c r="G2743" s="71" t="s">
        <v>3253</v>
      </c>
      <c r="H2743" s="71" t="s">
        <v>3064</v>
      </c>
      <c r="I2743" s="71" t="s">
        <v>415</v>
      </c>
    </row>
    <row r="2744" spans="1:9" ht="29" x14ac:dyDescent="0.35">
      <c r="A2744" s="195">
        <v>18</v>
      </c>
      <c r="B2744" s="195">
        <v>95</v>
      </c>
      <c r="C2744" s="195" t="s">
        <v>3308</v>
      </c>
      <c r="D2744" s="195">
        <v>125</v>
      </c>
      <c r="E2744" s="195" t="s">
        <v>373</v>
      </c>
      <c r="F2744" s="71" t="s">
        <v>508</v>
      </c>
      <c r="G2744" s="71" t="s">
        <v>3253</v>
      </c>
      <c r="H2744" s="71" t="s">
        <v>3062</v>
      </c>
      <c r="I2744" s="71" t="s">
        <v>415</v>
      </c>
    </row>
    <row r="2745" spans="1:9" ht="29" x14ac:dyDescent="0.35">
      <c r="A2745" s="195">
        <v>18</v>
      </c>
      <c r="B2745" s="195">
        <v>96</v>
      </c>
      <c r="C2745" s="195" t="s">
        <v>3312</v>
      </c>
      <c r="D2745" s="195">
        <v>60</v>
      </c>
      <c r="E2745" s="195" t="s">
        <v>366</v>
      </c>
      <c r="F2745" s="71" t="s">
        <v>3020</v>
      </c>
      <c r="G2745" s="71" t="s">
        <v>3253</v>
      </c>
      <c r="H2745" s="71" t="s">
        <v>3083</v>
      </c>
      <c r="I2745" s="71" t="s">
        <v>363</v>
      </c>
    </row>
    <row r="2746" spans="1:9" ht="29" x14ac:dyDescent="0.35">
      <c r="A2746" s="195">
        <v>18</v>
      </c>
      <c r="B2746" s="195">
        <v>96</v>
      </c>
      <c r="C2746" s="195" t="s">
        <v>3311</v>
      </c>
      <c r="D2746" s="195">
        <v>90</v>
      </c>
      <c r="E2746" s="195" t="s">
        <v>366</v>
      </c>
      <c r="F2746" s="71" t="s">
        <v>2510</v>
      </c>
      <c r="G2746" s="71" t="s">
        <v>3253</v>
      </c>
      <c r="H2746" s="71" t="s">
        <v>3083</v>
      </c>
      <c r="I2746" s="71" t="s">
        <v>363</v>
      </c>
    </row>
    <row r="2747" spans="1:9" ht="29" x14ac:dyDescent="0.35">
      <c r="A2747" s="195">
        <v>18</v>
      </c>
      <c r="B2747" s="195">
        <v>96</v>
      </c>
      <c r="C2747" s="195" t="s">
        <v>3310</v>
      </c>
      <c r="D2747" s="195">
        <v>55</v>
      </c>
      <c r="E2747" s="195" t="s">
        <v>366</v>
      </c>
      <c r="F2747" s="71" t="s">
        <v>508</v>
      </c>
      <c r="G2747" s="71" t="s">
        <v>3253</v>
      </c>
      <c r="H2747" s="71" t="s">
        <v>2491</v>
      </c>
      <c r="I2747" s="71" t="s">
        <v>363</v>
      </c>
    </row>
    <row r="2748" spans="1:9" ht="29" x14ac:dyDescent="0.35">
      <c r="A2748" s="195">
        <v>18</v>
      </c>
      <c r="B2748" s="195">
        <v>97</v>
      </c>
      <c r="C2748" s="195" t="s">
        <v>3314</v>
      </c>
      <c r="D2748" s="195">
        <v>15</v>
      </c>
      <c r="E2748" s="195" t="s">
        <v>373</v>
      </c>
      <c r="F2748" s="71" t="s">
        <v>3020</v>
      </c>
      <c r="G2748" s="71" t="s">
        <v>3253</v>
      </c>
      <c r="H2748" s="71" t="s">
        <v>3083</v>
      </c>
      <c r="I2748" s="71" t="s">
        <v>371</v>
      </c>
    </row>
    <row r="2749" spans="1:9" ht="29" x14ac:dyDescent="0.35">
      <c r="A2749" s="195">
        <v>18</v>
      </c>
      <c r="B2749" s="195">
        <v>97</v>
      </c>
      <c r="C2749" s="195" t="s">
        <v>3313</v>
      </c>
      <c r="D2749" s="195">
        <v>40</v>
      </c>
      <c r="E2749" s="195" t="s">
        <v>373</v>
      </c>
      <c r="F2749" s="71" t="s">
        <v>2510</v>
      </c>
      <c r="G2749" s="71" t="s">
        <v>3253</v>
      </c>
      <c r="H2749" s="71" t="s">
        <v>3083</v>
      </c>
      <c r="I2749" s="71" t="s">
        <v>371</v>
      </c>
    </row>
    <row r="2750" spans="1:9" ht="29" x14ac:dyDescent="0.35">
      <c r="A2750" s="195">
        <v>18</v>
      </c>
      <c r="B2750" s="195">
        <v>97</v>
      </c>
      <c r="C2750" s="195" t="s">
        <v>3315</v>
      </c>
      <c r="D2750" s="195">
        <v>15</v>
      </c>
      <c r="E2750" s="195" t="s">
        <v>373</v>
      </c>
      <c r="F2750" s="71" t="s">
        <v>508</v>
      </c>
      <c r="G2750" s="71" t="s">
        <v>3253</v>
      </c>
      <c r="H2750" s="71" t="s">
        <v>2491</v>
      </c>
      <c r="I2750" s="71" t="s">
        <v>371</v>
      </c>
    </row>
    <row r="2751" spans="1:9" ht="43.5" x14ac:dyDescent="0.35">
      <c r="A2751" s="195">
        <v>18</v>
      </c>
      <c r="B2751" s="195">
        <v>98</v>
      </c>
      <c r="C2751" s="195" t="s">
        <v>3317</v>
      </c>
      <c r="D2751" s="195">
        <v>15</v>
      </c>
      <c r="E2751" s="195" t="s">
        <v>373</v>
      </c>
      <c r="F2751" s="71" t="s">
        <v>3020</v>
      </c>
      <c r="G2751" s="71" t="s">
        <v>3253</v>
      </c>
      <c r="H2751" s="71" t="s">
        <v>3083</v>
      </c>
      <c r="I2751" s="71" t="s">
        <v>2805</v>
      </c>
    </row>
    <row r="2752" spans="1:9" ht="43.5" x14ac:dyDescent="0.35">
      <c r="A2752" s="195">
        <v>18</v>
      </c>
      <c r="B2752" s="195">
        <v>98</v>
      </c>
      <c r="C2752" s="195" t="s">
        <v>3316</v>
      </c>
      <c r="D2752" s="195">
        <v>0</v>
      </c>
      <c r="E2752" s="195" t="s">
        <v>373</v>
      </c>
      <c r="F2752" s="71" t="s">
        <v>2510</v>
      </c>
      <c r="G2752" s="71" t="s">
        <v>3253</v>
      </c>
      <c r="H2752" s="71" t="s">
        <v>3083</v>
      </c>
      <c r="I2752" s="71" t="s">
        <v>2805</v>
      </c>
    </row>
    <row r="2753" spans="1:9" ht="43.5" x14ac:dyDescent="0.35">
      <c r="A2753" s="195">
        <v>18</v>
      </c>
      <c r="B2753" s="195">
        <v>98</v>
      </c>
      <c r="C2753" s="195" t="s">
        <v>3318</v>
      </c>
      <c r="D2753" s="195">
        <v>0</v>
      </c>
      <c r="E2753" s="195" t="s">
        <v>373</v>
      </c>
      <c r="F2753" s="71" t="s">
        <v>508</v>
      </c>
      <c r="G2753" s="71" t="s">
        <v>3253</v>
      </c>
      <c r="H2753" s="71" t="s">
        <v>2491</v>
      </c>
      <c r="I2753" s="71" t="s">
        <v>2805</v>
      </c>
    </row>
    <row r="2754" spans="1:9" ht="43.5" x14ac:dyDescent="0.35">
      <c r="A2754" s="195">
        <v>18</v>
      </c>
      <c r="B2754" s="195">
        <v>99</v>
      </c>
      <c r="C2754" s="195" t="s">
        <v>3321</v>
      </c>
      <c r="D2754" s="195">
        <v>10</v>
      </c>
      <c r="E2754" s="195" t="s">
        <v>373</v>
      </c>
      <c r="F2754" s="71" t="s">
        <v>3020</v>
      </c>
      <c r="G2754" s="71" t="s">
        <v>3253</v>
      </c>
      <c r="H2754" s="71" t="s">
        <v>3083</v>
      </c>
      <c r="I2754" s="71" t="s">
        <v>2827</v>
      </c>
    </row>
    <row r="2755" spans="1:9" ht="43.5" x14ac:dyDescent="0.35">
      <c r="A2755" s="195">
        <v>18</v>
      </c>
      <c r="B2755" s="195">
        <v>99</v>
      </c>
      <c r="C2755" s="195" t="s">
        <v>3319</v>
      </c>
      <c r="D2755" s="195">
        <v>10</v>
      </c>
      <c r="E2755" s="195" t="s">
        <v>373</v>
      </c>
      <c r="F2755" s="71" t="s">
        <v>2510</v>
      </c>
      <c r="G2755" s="71" t="s">
        <v>3253</v>
      </c>
      <c r="H2755" s="71" t="s">
        <v>3083</v>
      </c>
      <c r="I2755" s="71" t="s">
        <v>2827</v>
      </c>
    </row>
    <row r="2756" spans="1:9" ht="43.5" x14ac:dyDescent="0.35">
      <c r="A2756" s="195">
        <v>18</v>
      </c>
      <c r="B2756" s="195">
        <v>99</v>
      </c>
      <c r="C2756" s="195" t="s">
        <v>3320</v>
      </c>
      <c r="D2756" s="195">
        <v>0</v>
      </c>
      <c r="E2756" s="195" t="s">
        <v>373</v>
      </c>
      <c r="F2756" s="71" t="s">
        <v>508</v>
      </c>
      <c r="G2756" s="71" t="s">
        <v>3253</v>
      </c>
      <c r="H2756" s="71" t="s">
        <v>2491</v>
      </c>
      <c r="I2756" s="71" t="s">
        <v>2827</v>
      </c>
    </row>
    <row r="2757" spans="1:9" ht="43.5" x14ac:dyDescent="0.35">
      <c r="A2757" s="195">
        <v>18</v>
      </c>
      <c r="B2757" s="195">
        <v>100</v>
      </c>
      <c r="C2757" s="195" t="s">
        <v>3323</v>
      </c>
      <c r="D2757" s="195">
        <v>0</v>
      </c>
      <c r="E2757" s="195" t="s">
        <v>373</v>
      </c>
      <c r="F2757" s="71" t="s">
        <v>3020</v>
      </c>
      <c r="G2757" s="71" t="s">
        <v>3253</v>
      </c>
      <c r="H2757" s="71" t="s">
        <v>3083</v>
      </c>
      <c r="I2757" s="71" t="s">
        <v>3035</v>
      </c>
    </row>
    <row r="2758" spans="1:9" ht="43.5" x14ac:dyDescent="0.35">
      <c r="A2758" s="195">
        <v>18</v>
      </c>
      <c r="B2758" s="195">
        <v>100</v>
      </c>
      <c r="C2758" s="195" t="s">
        <v>3322</v>
      </c>
      <c r="D2758" s="195">
        <v>20</v>
      </c>
      <c r="E2758" s="195" t="s">
        <v>373</v>
      </c>
      <c r="F2758" s="71" t="s">
        <v>2510</v>
      </c>
      <c r="G2758" s="71" t="s">
        <v>3253</v>
      </c>
      <c r="H2758" s="71" t="s">
        <v>3083</v>
      </c>
      <c r="I2758" s="71" t="s">
        <v>3035</v>
      </c>
    </row>
    <row r="2759" spans="1:9" ht="43.5" x14ac:dyDescent="0.35">
      <c r="A2759" s="195">
        <v>18</v>
      </c>
      <c r="B2759" s="195">
        <v>100</v>
      </c>
      <c r="C2759" s="195" t="s">
        <v>3324</v>
      </c>
      <c r="D2759" s="195">
        <v>0</v>
      </c>
      <c r="E2759" s="195" t="s">
        <v>373</v>
      </c>
      <c r="F2759" s="71" t="s">
        <v>508</v>
      </c>
      <c r="G2759" s="71" t="s">
        <v>3253</v>
      </c>
      <c r="H2759" s="71" t="s">
        <v>2491</v>
      </c>
      <c r="I2759" s="71" t="s">
        <v>3035</v>
      </c>
    </row>
    <row r="2760" spans="1:9" ht="29" x14ac:dyDescent="0.35">
      <c r="A2760" s="195">
        <v>18</v>
      </c>
      <c r="B2760" s="195">
        <v>101</v>
      </c>
      <c r="C2760" s="195" t="s">
        <v>3326</v>
      </c>
      <c r="D2760" s="195">
        <v>20</v>
      </c>
      <c r="E2760" s="195" t="s">
        <v>373</v>
      </c>
      <c r="F2760" s="71" t="s">
        <v>3020</v>
      </c>
      <c r="G2760" s="71" t="s">
        <v>3253</v>
      </c>
      <c r="H2760" s="71" t="s">
        <v>3083</v>
      </c>
      <c r="I2760" s="71" t="s">
        <v>415</v>
      </c>
    </row>
    <row r="2761" spans="1:9" ht="29" x14ac:dyDescent="0.35">
      <c r="A2761" s="195">
        <v>18</v>
      </c>
      <c r="B2761" s="195">
        <v>101</v>
      </c>
      <c r="C2761" s="195" t="s">
        <v>3327</v>
      </c>
      <c r="D2761" s="195">
        <v>25</v>
      </c>
      <c r="E2761" s="195" t="s">
        <v>373</v>
      </c>
      <c r="F2761" s="71" t="s">
        <v>2510</v>
      </c>
      <c r="G2761" s="71" t="s">
        <v>3253</v>
      </c>
      <c r="H2761" s="71" t="s">
        <v>3083</v>
      </c>
      <c r="I2761" s="71" t="s">
        <v>415</v>
      </c>
    </row>
    <row r="2762" spans="1:9" ht="29" x14ac:dyDescent="0.35">
      <c r="A2762" s="195">
        <v>18</v>
      </c>
      <c r="B2762" s="195">
        <v>101</v>
      </c>
      <c r="C2762" s="195" t="s">
        <v>3325</v>
      </c>
      <c r="D2762" s="195">
        <v>40</v>
      </c>
      <c r="E2762" s="195" t="s">
        <v>373</v>
      </c>
      <c r="F2762" s="71" t="s">
        <v>508</v>
      </c>
      <c r="G2762" s="71" t="s">
        <v>3253</v>
      </c>
      <c r="H2762" s="71" t="s">
        <v>2491</v>
      </c>
      <c r="I2762" s="71" t="s">
        <v>415</v>
      </c>
    </row>
    <row r="2774" spans="4:5" x14ac:dyDescent="0.35">
      <c r="D2774" s="191"/>
      <c r="E2774" s="191"/>
    </row>
    <row r="2775" spans="4:5" x14ac:dyDescent="0.35">
      <c r="D2775" s="191"/>
      <c r="E2775" s="191"/>
    </row>
    <row r="2776" spans="4:5" x14ac:dyDescent="0.35">
      <c r="D2776" s="191"/>
      <c r="E2776" s="191"/>
    </row>
    <row r="2777" spans="4:5" x14ac:dyDescent="0.35">
      <c r="D2777" s="191"/>
      <c r="E2777" s="191"/>
    </row>
    <row r="2778" spans="4:5" x14ac:dyDescent="0.35">
      <c r="D2778" s="191"/>
      <c r="E2778" s="191"/>
    </row>
    <row r="2779" spans="4:5" x14ac:dyDescent="0.35">
      <c r="D2779" s="191"/>
      <c r="E2779" s="191"/>
    </row>
    <row r="2780" spans="4:5" x14ac:dyDescent="0.35">
      <c r="D2780" s="191"/>
      <c r="E2780" s="191"/>
    </row>
    <row r="2781" spans="4:5" x14ac:dyDescent="0.35">
      <c r="D2781" s="191"/>
      <c r="E2781" s="191"/>
    </row>
    <row r="2782" spans="4:5" x14ac:dyDescent="0.35">
      <c r="D2782" s="191"/>
    </row>
    <row r="2783" spans="4:5" x14ac:dyDescent="0.35">
      <c r="D2783" s="191"/>
    </row>
  </sheetData>
  <autoFilter ref="A1:J2762" xr:uid="{00000000-0009-0000-0000-000001000000}">
    <sortState xmlns:xlrd2="http://schemas.microsoft.com/office/spreadsheetml/2017/richdata2" ref="A2:J2762">
      <sortCondition ref="A2:A2762"/>
      <sortCondition ref="B2:B2762"/>
      <sortCondition ref="C2:C2762"/>
    </sortState>
  </autoFilter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K31"/>
  <sheetViews>
    <sheetView workbookViewId="0">
      <selection activeCell="B18" sqref="B18"/>
    </sheetView>
  </sheetViews>
  <sheetFormatPr defaultRowHeight="14.5" x14ac:dyDescent="0.35"/>
  <cols>
    <col min="1" max="1" width="30.54296875" customWidth="1"/>
    <col min="2" max="2" width="10.7265625" bestFit="1" customWidth="1"/>
    <col min="3" max="4" width="10.7265625" customWidth="1"/>
    <col min="9" max="9" width="17" bestFit="1" customWidth="1"/>
    <col min="10" max="10" width="29.1796875" bestFit="1" customWidth="1"/>
    <col min="11" max="11" width="18.7265625" bestFit="1" customWidth="1"/>
  </cols>
  <sheetData>
    <row r="1" spans="1:11" x14ac:dyDescent="0.35">
      <c r="A1" s="35" t="s">
        <v>98</v>
      </c>
      <c r="B1" s="37"/>
      <c r="C1" s="37"/>
      <c r="D1" s="37"/>
    </row>
    <row r="3" spans="1:11" ht="15" thickBot="1" x14ac:dyDescent="0.4">
      <c r="A3" s="9" t="s">
        <v>99</v>
      </c>
    </row>
    <row r="4" spans="1:11" ht="16.5" customHeight="1" thickBot="1" x14ac:dyDescent="0.4">
      <c r="A4" s="57" t="s">
        <v>100</v>
      </c>
      <c r="B4" s="45" t="s">
        <v>101</v>
      </c>
      <c r="C4" s="45" t="s">
        <v>102</v>
      </c>
      <c r="I4" s="113"/>
      <c r="J4" s="113"/>
      <c r="K4" s="113"/>
    </row>
    <row r="5" spans="1:11" ht="15" thickBot="1" x14ac:dyDescent="0.4">
      <c r="A5" s="47" t="s">
        <v>103</v>
      </c>
      <c r="B5" s="48">
        <f>VLOOKUP("b25024_002",'ACS 2017'!$A$1:$F$388,2,FALSE)</f>
        <v>570066</v>
      </c>
      <c r="C5" s="49">
        <f>B5/$B$11</f>
        <v>0.57952265061269803</v>
      </c>
      <c r="I5" s="113"/>
      <c r="J5" s="113"/>
      <c r="K5" s="113"/>
    </row>
    <row r="6" spans="1:11" ht="15" thickBot="1" x14ac:dyDescent="0.4">
      <c r="A6" s="47" t="s">
        <v>104</v>
      </c>
      <c r="B6" s="48">
        <f>VLOOKUP("b25024_003",'ACS 2017'!$A$1:$F$388,2,FALSE)</f>
        <v>73372</v>
      </c>
      <c r="C6" s="49">
        <f t="shared" ref="C6:C11" si="0">B6/$B$11</f>
        <v>7.4589145679193072E-2</v>
      </c>
      <c r="I6" s="113"/>
      <c r="J6" s="113"/>
      <c r="K6" s="113"/>
    </row>
    <row r="7" spans="1:11" ht="15" thickBot="1" x14ac:dyDescent="0.4">
      <c r="A7" s="47" t="s">
        <v>105</v>
      </c>
      <c r="B7" s="48">
        <f>VLOOKUP("b25024_004",'ACS 2017'!$A$1:$F$388,2,FALSE)+VLOOKUP("b25024_005",'ACS 2017'!$A$1:$F$388,2,FALSE)</f>
        <v>93325</v>
      </c>
      <c r="C7" s="49">
        <f t="shared" si="0"/>
        <v>9.4873139896836572E-2</v>
      </c>
      <c r="I7" s="113"/>
      <c r="J7" s="64"/>
      <c r="K7" s="113"/>
    </row>
    <row r="8" spans="1:11" ht="15" thickBot="1" x14ac:dyDescent="0.4">
      <c r="A8" s="47" t="s">
        <v>106</v>
      </c>
      <c r="B8" s="48">
        <f>VLOOKUP("b25024_006",'ACS 2017'!$A$1:$F$388,2,FALSE)+VLOOKUP("b25024_007",'ACS 2017'!$A$1:$F$388,2,FALSE)</f>
        <v>131479</v>
      </c>
      <c r="C8" s="49">
        <f t="shared" si="0"/>
        <v>0.1336600649396858</v>
      </c>
      <c r="I8" s="113"/>
      <c r="J8" s="64"/>
      <c r="K8" s="113"/>
    </row>
    <row r="9" spans="1:11" ht="15" thickBot="1" x14ac:dyDescent="0.4">
      <c r="A9" s="47" t="s">
        <v>107</v>
      </c>
      <c r="B9" s="48">
        <f>VLOOKUP("b25024_008",'ACS 2017'!$A$1:$F$388,2,FALSE)+VLOOKUP("b25024_009",'ACS 2017'!$A$1:$F$388,2,FALSE)</f>
        <v>102174</v>
      </c>
      <c r="C9" s="49">
        <f t="shared" si="0"/>
        <v>0.10386893325281951</v>
      </c>
      <c r="I9" s="113"/>
      <c r="J9" s="64"/>
      <c r="K9" s="113"/>
    </row>
    <row r="10" spans="1:11" ht="15" thickBot="1" x14ac:dyDescent="0.4">
      <c r="A10" s="47" t="s">
        <v>108</v>
      </c>
      <c r="B10" s="48">
        <f>VLOOKUP("b25024_010",'ACS 2017'!$A$1:$F$388,2,FALSE)+VLOOKUP("b25024_011",'ACS 2017'!$A$1:$F$388,2,FALSE)</f>
        <v>13266</v>
      </c>
      <c r="C10" s="49">
        <f t="shared" si="0"/>
        <v>1.3486065618767041E-2</v>
      </c>
      <c r="I10" s="113"/>
      <c r="J10" s="64"/>
      <c r="K10" s="113"/>
    </row>
    <row r="11" spans="1:11" ht="15" thickBot="1" x14ac:dyDescent="0.4">
      <c r="A11" s="58" t="s">
        <v>26</v>
      </c>
      <c r="B11" s="51">
        <f>SUM(B5:B10)</f>
        <v>983682</v>
      </c>
      <c r="C11" s="49">
        <f t="shared" si="0"/>
        <v>1</v>
      </c>
      <c r="I11" s="113"/>
      <c r="J11" s="64"/>
      <c r="K11" s="113"/>
    </row>
    <row r="12" spans="1:11" x14ac:dyDescent="0.35">
      <c r="A12" s="12" t="s">
        <v>4169</v>
      </c>
      <c r="B12" s="39"/>
      <c r="C12" s="39"/>
      <c r="I12" s="113"/>
      <c r="J12" s="64"/>
      <c r="K12" s="113"/>
    </row>
    <row r="13" spans="1:11" x14ac:dyDescent="0.35">
      <c r="I13" s="113"/>
      <c r="J13" s="64"/>
      <c r="K13" s="113"/>
    </row>
    <row r="14" spans="1:11" x14ac:dyDescent="0.35">
      <c r="I14" s="113"/>
      <c r="J14" s="64"/>
      <c r="K14" s="113"/>
    </row>
    <row r="15" spans="1:11" ht="15" thickBot="1" x14ac:dyDescent="0.4">
      <c r="A15" s="44" t="s">
        <v>198</v>
      </c>
      <c r="B15" s="39"/>
      <c r="C15" s="39"/>
      <c r="D15" s="39"/>
      <c r="E15" s="39"/>
      <c r="I15" s="113"/>
      <c r="J15" s="64"/>
      <c r="K15" s="113"/>
    </row>
    <row r="16" spans="1:11" ht="15" thickBot="1" x14ac:dyDescent="0.4">
      <c r="A16" s="276"/>
      <c r="B16" s="278" t="s">
        <v>109</v>
      </c>
      <c r="C16" s="279"/>
      <c r="D16" s="278" t="s">
        <v>110</v>
      </c>
      <c r="E16" s="279"/>
      <c r="I16" s="113"/>
      <c r="J16" s="64"/>
      <c r="K16" s="113"/>
    </row>
    <row r="17" spans="1:11" ht="15" thickBot="1" x14ac:dyDescent="0.4">
      <c r="A17" s="277"/>
      <c r="B17" s="59" t="s">
        <v>101</v>
      </c>
      <c r="C17" s="59" t="s">
        <v>102</v>
      </c>
      <c r="D17" s="59" t="s">
        <v>101</v>
      </c>
      <c r="E17" s="59" t="s">
        <v>102</v>
      </c>
      <c r="I17" s="113"/>
      <c r="J17" s="64"/>
      <c r="K17" s="113"/>
    </row>
    <row r="18" spans="1:11" ht="15" thickBot="1" x14ac:dyDescent="0.4">
      <c r="A18" s="60" t="s">
        <v>111</v>
      </c>
      <c r="B18" s="48">
        <f>VLOOKUP("b25042_003",'ACS 2017'!$A$1:$F$388,2,FALSE)</f>
        <v>1822</v>
      </c>
      <c r="C18" s="61">
        <f>B18/$B$22</f>
        <v>2.8213243810738995E-3</v>
      </c>
      <c r="D18" s="48">
        <f>VLOOKUP("b25042_010",'ACS 2017'!$A$1:$F$388,2,FALSE)</f>
        <v>11529</v>
      </c>
      <c r="E18" s="61">
        <f>D18/$B$22</f>
        <v>1.785238682184467E-2</v>
      </c>
      <c r="I18" s="113"/>
      <c r="J18" s="64"/>
      <c r="K18" s="113"/>
    </row>
    <row r="19" spans="1:11" ht="15" thickBot="1" x14ac:dyDescent="0.4">
      <c r="A19" s="60" t="s">
        <v>112</v>
      </c>
      <c r="B19" s="48">
        <f>VLOOKUP("b25042_004",'ACS 2017'!$A$1:$F$388,2,FALSE)</f>
        <v>18451</v>
      </c>
      <c r="C19" s="61">
        <f t="shared" ref="C19:E21" si="1">B19/$B$22</f>
        <v>2.8570941907351547E-2</v>
      </c>
      <c r="D19" s="48">
        <f>VLOOKUP("b25042_011",'ACS 2017'!$A$1:$F$388,2,FALSE)</f>
        <v>72440</v>
      </c>
      <c r="E19" s="61">
        <f t="shared" si="1"/>
        <v>0.11217164553512254</v>
      </c>
      <c r="I19" s="113"/>
      <c r="J19" s="64"/>
      <c r="K19" s="113"/>
    </row>
    <row r="20" spans="1:11" ht="15" thickBot="1" x14ac:dyDescent="0.4">
      <c r="A20" s="60" t="s">
        <v>113</v>
      </c>
      <c r="B20" s="48">
        <f>VLOOKUP("b25042_005",'ACS 2017'!$A$1:$F$388,2,FALSE)</f>
        <v>142306</v>
      </c>
      <c r="C20" s="61">
        <f t="shared" si="1"/>
        <v>0.22035751227941952</v>
      </c>
      <c r="D20" s="48">
        <f>VLOOKUP("b25042_012",'ACS 2017'!$A$1:$F$388,2,FALSE)</f>
        <v>110913</v>
      </c>
      <c r="E20" s="61">
        <f t="shared" si="1"/>
        <v>0.17174618610211273</v>
      </c>
      <c r="I20" s="113"/>
      <c r="J20" s="64"/>
      <c r="K20" s="113"/>
    </row>
    <row r="21" spans="1:11" ht="15" thickBot="1" x14ac:dyDescent="0.4">
      <c r="A21" s="60" t="s">
        <v>114</v>
      </c>
      <c r="B21" s="48">
        <f>VLOOKUP("b25042_006",'ACS 2017'!$A$1:$F$388,2,FALSE)+VLOOKUP("b25042_007",'ACS 2017'!$A$1:$F$388,2,FALSE)+VLOOKUP("b25042_008",'ACS 2017'!$A$1:$F$388,2,FALSE)</f>
        <v>483217</v>
      </c>
      <c r="C21" s="61">
        <f t="shared" si="1"/>
        <v>0.74825022143215503</v>
      </c>
      <c r="D21" s="48">
        <f>VLOOKUP("b25042_013",'ACS 2017'!$A$1:$F$388,2,FALSE)+VLOOKUP("b25042_014",'ACS 2017'!$A$1:$F$388,2,FALSE)+VLOOKUP("b25042_015",'ACS 2017'!$A$1:$F$388,2,FALSE)</f>
        <v>69094</v>
      </c>
      <c r="E21" s="61">
        <f t="shared" si="1"/>
        <v>0.10699044280237102</v>
      </c>
      <c r="I21" s="113"/>
      <c r="J21" s="64"/>
      <c r="K21" s="113"/>
    </row>
    <row r="22" spans="1:11" ht="15" thickBot="1" x14ac:dyDescent="0.4">
      <c r="A22" s="62" t="s">
        <v>26</v>
      </c>
      <c r="B22" s="63">
        <f>SUM(B18:B21)</f>
        <v>645796</v>
      </c>
      <c r="C22" s="61"/>
      <c r="D22" s="63">
        <f>SUM(D18:D21)</f>
        <v>263976</v>
      </c>
      <c r="E22" s="61"/>
      <c r="I22" s="113"/>
      <c r="J22" s="64"/>
      <c r="K22" s="113"/>
    </row>
    <row r="23" spans="1:11" x14ac:dyDescent="0.35">
      <c r="A23" s="12" t="s">
        <v>4169</v>
      </c>
      <c r="B23" s="39"/>
      <c r="C23" s="39"/>
      <c r="D23" s="39"/>
      <c r="E23" s="39"/>
      <c r="I23" s="113"/>
      <c r="J23" s="64"/>
      <c r="K23" s="113"/>
    </row>
    <row r="24" spans="1:11" x14ac:dyDescent="0.35">
      <c r="I24" s="113"/>
      <c r="J24" s="64"/>
      <c r="K24" s="113"/>
    </row>
    <row r="25" spans="1:11" x14ac:dyDescent="0.35">
      <c r="D25" s="64"/>
      <c r="I25" s="113"/>
      <c r="J25" s="64"/>
      <c r="K25" s="113"/>
    </row>
    <row r="26" spans="1:11" x14ac:dyDescent="0.35">
      <c r="I26" s="113"/>
      <c r="J26" s="64"/>
      <c r="K26" s="113"/>
    </row>
    <row r="27" spans="1:11" x14ac:dyDescent="0.35">
      <c r="I27" s="113"/>
      <c r="J27" s="64"/>
      <c r="K27" s="113"/>
    </row>
    <row r="28" spans="1:11" x14ac:dyDescent="0.35">
      <c r="I28" s="113"/>
      <c r="J28" s="64"/>
      <c r="K28" s="113"/>
    </row>
    <row r="29" spans="1:11" x14ac:dyDescent="0.35">
      <c r="I29" s="113"/>
      <c r="J29" s="64"/>
      <c r="K29" s="113"/>
    </row>
    <row r="30" spans="1:11" x14ac:dyDescent="0.35">
      <c r="I30" s="113"/>
      <c r="J30" s="64"/>
      <c r="K30" s="113"/>
    </row>
    <row r="31" spans="1:11" x14ac:dyDescent="0.35">
      <c r="I31" s="113"/>
      <c r="J31" s="64"/>
      <c r="K31" s="113"/>
    </row>
  </sheetData>
  <mergeCells count="3">
    <mergeCell ref="A16:A17"/>
    <mergeCell ref="B16:C16"/>
    <mergeCell ref="D16:E16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38"/>
  <sheetViews>
    <sheetView topLeftCell="A19" workbookViewId="0">
      <selection activeCell="E41" sqref="E41"/>
    </sheetView>
  </sheetViews>
  <sheetFormatPr defaultRowHeight="14.5" x14ac:dyDescent="0.35"/>
  <cols>
    <col min="1" max="1" width="24.1796875" customWidth="1"/>
    <col min="2" max="2" width="15.1796875" bestFit="1" customWidth="1"/>
    <col min="3" max="3" width="22.453125" bestFit="1" customWidth="1"/>
    <col min="4" max="4" width="21.453125" customWidth="1"/>
    <col min="5" max="5" width="21.81640625" customWidth="1"/>
    <col min="7" max="7" width="15" bestFit="1" customWidth="1"/>
  </cols>
  <sheetData>
    <row r="1" spans="1:8" x14ac:dyDescent="0.35">
      <c r="A1" s="35" t="s">
        <v>117</v>
      </c>
      <c r="B1" s="37"/>
      <c r="C1" s="37"/>
    </row>
    <row r="3" spans="1:8" ht="15" thickBot="1" x14ac:dyDescent="0.4">
      <c r="A3" s="9" t="s">
        <v>118</v>
      </c>
    </row>
    <row r="4" spans="1:8" ht="15" thickBot="1" x14ac:dyDescent="0.4">
      <c r="A4" s="22"/>
      <c r="B4" s="6" t="s">
        <v>212</v>
      </c>
      <c r="C4" s="6" t="s">
        <v>211</v>
      </c>
      <c r="D4" s="6" t="s">
        <v>1</v>
      </c>
    </row>
    <row r="5" spans="1:8" ht="15" thickBot="1" x14ac:dyDescent="0.4">
      <c r="A5" s="47" t="s">
        <v>119</v>
      </c>
      <c r="B5" s="132">
        <f>VLOOKUP("b25077_001",'ACS 2010'!$A$1:$F$240,2,FALSE)</f>
        <v>257734.02966293716</v>
      </c>
      <c r="C5" s="132">
        <f>VLOOKUP("b25077_001",'ACS 2017'!$A$1:$F$388,2,FALSE)</f>
        <v>222270.2567064522</v>
      </c>
      <c r="D5" s="49">
        <f>(C5-B5)/B5</f>
        <v>-0.13759833345586628</v>
      </c>
      <c r="F5" s="41"/>
    </row>
    <row r="6" spans="1:8" ht="15" thickBot="1" x14ac:dyDescent="0.4">
      <c r="A6" s="47" t="s">
        <v>120</v>
      </c>
      <c r="B6" s="132">
        <f>VLOOKUP("b25058_001",'ACS 2010'!$A$1:$F$240,2,FALSE)</f>
        <v>810.17915412054924</v>
      </c>
      <c r="C6" s="132">
        <f>VLOOKUP("b25058_001",'ACS 2017'!$A$1:$F$388,2,FALSE)</f>
        <v>961.55249719671485</v>
      </c>
      <c r="D6" s="49">
        <f>(C6-B6)/B6</f>
        <v>0.18683934572530642</v>
      </c>
    </row>
    <row r="7" spans="1:8" x14ac:dyDescent="0.35">
      <c r="A7" s="39" t="s">
        <v>4170</v>
      </c>
    </row>
    <row r="10" spans="1:8" ht="15" thickBot="1" x14ac:dyDescent="0.4">
      <c r="A10" s="9" t="s">
        <v>121</v>
      </c>
    </row>
    <row r="11" spans="1:8" ht="15" thickBot="1" x14ac:dyDescent="0.4">
      <c r="A11" s="21" t="s">
        <v>122</v>
      </c>
      <c r="B11" s="1" t="s">
        <v>101</v>
      </c>
      <c r="C11" s="1" t="s">
        <v>102</v>
      </c>
      <c r="H11" s="64"/>
    </row>
    <row r="12" spans="1:8" ht="15" thickBot="1" x14ac:dyDescent="0.4">
      <c r="A12" s="2" t="s">
        <v>123</v>
      </c>
      <c r="B12" s="53">
        <f>VLOOKUP("b25063_003",'ACS 2017'!$A$1:$F$388,2,FALSE)+VLOOKUP("b25063_004",'ACS 2017'!$A$1:$F$388,2,FALSE)+VLOOKUP("b25063_005",'ACS 2017'!$A$1:$F$388,2,FALSE)+VLOOKUP("b25063_006",'ACS 2017'!$A$1:$F$388,2,FALSE)+VLOOKUP("b25063_007",'ACS 2017'!$A$1:$F$388,2,FALSE)+VLOOKUP("b25063_008",'ACS 2017'!$A$1:$F$388,2,FALSE)+VLOOKUP("b25063_009",'ACS 2017'!$A$1:$F$388,2,FALSE)+VLOOKUP("b25063_010",'ACS 2017'!$A$1:$F$388,2,FALSE)+VLOOKUP("b25063_011",'ACS 2017'!$A$1:$F$388,2,FALSE)</f>
        <v>12723</v>
      </c>
      <c r="C12" s="4">
        <f>B12/$B$17</f>
        <v>5.0200042612627539E-2</v>
      </c>
      <c r="H12" s="64"/>
    </row>
    <row r="13" spans="1:8" ht="15" thickBot="1" x14ac:dyDescent="0.4">
      <c r="A13" s="2" t="s">
        <v>124</v>
      </c>
      <c r="B13" s="53">
        <f>VLOOKUP("b25063_012",'ACS 2017'!$A$1:$F$388,2,FALSE)+VLOOKUP("b25063_013",'ACS 2017'!$A$1:$F$388,2,FALSE)+VLOOKUP("b25063_014",'ACS 2017'!$A$1:$F$388,2,FALSE)+VLOOKUP("b25063_015",'ACS 2017'!$A$1:$F$388,2,FALSE)+VLOOKUP("b25063_016",'ACS 2017'!$A$1:$F$388,2,FALSE)+VLOOKUP("b25063_017",'ACS 2017'!$A$1:$F$388,2,FALSE)+VLOOKUP("b25063_018",'ACS 2017'!$A$1:$F$388,2,FALSE)+VLOOKUP("b25063_019",'ACS 2017'!$A$1:$F$388,2,FALSE)</f>
        <v>97082</v>
      </c>
      <c r="C13" s="4">
        <f t="shared" ref="C13:C17" si="0">B13/$B$17</f>
        <v>0.38304806546562187</v>
      </c>
      <c r="H13" s="64"/>
    </row>
    <row r="14" spans="1:8" ht="15" thickBot="1" x14ac:dyDescent="0.4">
      <c r="A14" s="2" t="s">
        <v>125</v>
      </c>
      <c r="B14" s="53">
        <f>VLOOKUP("b25063_020",'ACS 2017'!$A$1:$F$388,2,FALSE)+VLOOKUP("b25063_021",'ACS 2017'!$A$1:$F$388,2,FALSE)</f>
        <v>94361</v>
      </c>
      <c r="C14" s="4">
        <f t="shared" si="0"/>
        <v>0.3723120506932443</v>
      </c>
      <c r="H14" s="64"/>
    </row>
    <row r="15" spans="1:8" ht="15" thickBot="1" x14ac:dyDescent="0.4">
      <c r="A15" s="2" t="s">
        <v>126</v>
      </c>
      <c r="B15" s="53">
        <f>VLOOKUP("b25063_022",'ACS 2017'!$A$1:$F$388,2,FALSE)</f>
        <v>32269</v>
      </c>
      <c r="C15" s="4">
        <f t="shared" si="0"/>
        <v>0.12732100723625545</v>
      </c>
      <c r="H15" s="64"/>
    </row>
    <row r="16" spans="1:8" ht="15" thickBot="1" x14ac:dyDescent="0.4">
      <c r="A16" s="2" t="s">
        <v>127</v>
      </c>
      <c r="B16" s="53">
        <f>VLOOKUP("b25063_023",'ACS 2017'!$A$1:$F$388,2,FALSE)+VLOOKUP("b25063_024",'ACS 2017'!$A$1:$F$388,2,FALSE)+VLOOKUP("b25063_025",'ACS 2017'!$A$1:$F$388,2,FALSE)+VLOOKUP("b25063_026",'ACS 2017'!$A$1:$F$388,2,FALSE)</f>
        <v>17011</v>
      </c>
      <c r="C16" s="4">
        <f t="shared" si="0"/>
        <v>6.7118833992250812E-2</v>
      </c>
      <c r="H16" s="64"/>
    </row>
    <row r="17" spans="1:9" ht="15" thickBot="1" x14ac:dyDescent="0.4">
      <c r="A17" s="28" t="s">
        <v>26</v>
      </c>
      <c r="B17" s="29">
        <f>SUM(B12:B16)</f>
        <v>253446</v>
      </c>
      <c r="C17" s="4">
        <f t="shared" si="0"/>
        <v>1</v>
      </c>
      <c r="H17" s="64"/>
    </row>
    <row r="18" spans="1:9" x14ac:dyDescent="0.35">
      <c r="A18" s="12" t="s">
        <v>4169</v>
      </c>
      <c r="H18" s="64"/>
    </row>
    <row r="19" spans="1:9" x14ac:dyDescent="0.35">
      <c r="H19" s="64"/>
    </row>
    <row r="20" spans="1:9" x14ac:dyDescent="0.35">
      <c r="H20" s="64"/>
    </row>
    <row r="21" spans="1:9" ht="15" thickBot="1" x14ac:dyDescent="0.4">
      <c r="A21" s="9" t="s">
        <v>128</v>
      </c>
      <c r="H21" s="64"/>
    </row>
    <row r="22" spans="1:9" ht="30.75" customHeight="1" thickBot="1" x14ac:dyDescent="0.4">
      <c r="A22" s="284" t="s">
        <v>129</v>
      </c>
      <c r="B22" s="280" t="s">
        <v>20</v>
      </c>
      <c r="C22" s="281"/>
      <c r="D22" s="282" t="s">
        <v>21</v>
      </c>
      <c r="E22" s="283"/>
      <c r="F22" s="43"/>
      <c r="G22" s="43"/>
      <c r="H22" s="43"/>
      <c r="I22" s="64"/>
    </row>
    <row r="23" spans="1:9" s="133" customFormat="1" ht="15" thickBot="1" x14ac:dyDescent="0.4">
      <c r="A23" s="285"/>
      <c r="B23" s="21" t="s">
        <v>101</v>
      </c>
      <c r="C23" s="21" t="s">
        <v>102</v>
      </c>
      <c r="D23" s="134" t="s">
        <v>101</v>
      </c>
      <c r="E23" s="134" t="s">
        <v>102</v>
      </c>
      <c r="F23" s="43"/>
      <c r="G23" s="43"/>
      <c r="H23" s="43"/>
      <c r="I23" s="64"/>
    </row>
    <row r="24" spans="1:9" ht="15" thickBot="1" x14ac:dyDescent="0.4">
      <c r="A24" s="2" t="s">
        <v>175</v>
      </c>
      <c r="B24" s="127">
        <f>VLOOKUP("T8_est70",CHAS!$C$1:$J$2762,2,FALSE)</f>
        <v>7170</v>
      </c>
      <c r="C24" s="139">
        <f>B24/$B$29</f>
        <v>5.359946176272707E-2</v>
      </c>
      <c r="D24" s="127">
        <f>VLOOKUP("T8_est4",CHAS!$C$1:$J$2762,2,FALSE)</f>
        <v>4275</v>
      </c>
      <c r="E24" s="137">
        <f>D24/$D$29</f>
        <v>9.6222019649549271E-3</v>
      </c>
      <c r="F24" s="40"/>
      <c r="G24" s="41"/>
      <c r="I24" s="64"/>
    </row>
    <row r="25" spans="1:9" ht="15" thickBot="1" x14ac:dyDescent="0.4">
      <c r="A25" s="2" t="s">
        <v>176</v>
      </c>
      <c r="B25" s="127">
        <f>VLOOKUP("T8_est83",CHAS!$C$1:$J$2762,2,FALSE)</f>
        <v>8930</v>
      </c>
      <c r="C25" s="139">
        <f t="shared" ref="C25:C29" si="1">B25/$B$29</f>
        <v>6.6756372878821857E-2</v>
      </c>
      <c r="D25" s="127">
        <f>VLOOKUP("T8_est17",CHAS!$C$1:$J$2762,2,FALSE)</f>
        <v>20330</v>
      </c>
      <c r="E25" s="137">
        <f>D25/$D$29</f>
        <v>4.5758916011118991E-2</v>
      </c>
      <c r="F25" s="40"/>
      <c r="I25" s="64"/>
    </row>
    <row r="26" spans="1:9" ht="15" thickBot="1" x14ac:dyDescent="0.4">
      <c r="A26" s="2" t="s">
        <v>177</v>
      </c>
      <c r="B26" s="127">
        <f>VLOOKUP("T8_est96",CHAS!$C$1:$J$2762,2,FALSE)</f>
        <v>34255</v>
      </c>
      <c r="C26" s="139">
        <f t="shared" si="1"/>
        <v>0.25607385811467442</v>
      </c>
      <c r="D26" s="127">
        <f>VLOOKUP("T8_est30",CHAS!$C$1:$J$2762,2,FALSE)</f>
        <v>52925</v>
      </c>
      <c r="E26" s="137">
        <f t="shared" ref="E26:E29" si="2">D26/$D$29</f>
        <v>0.11912398572988059</v>
      </c>
      <c r="F26" s="40"/>
      <c r="I26" s="64"/>
    </row>
    <row r="27" spans="1:9" ht="15" thickBot="1" x14ac:dyDescent="0.4">
      <c r="A27" s="2" t="s">
        <v>178</v>
      </c>
      <c r="B27" s="127">
        <f>VLOOKUP("T8_est109",CHAS!$C$1:$J$2762,2,FALSE)</f>
        <v>23720</v>
      </c>
      <c r="C27" s="139">
        <f t="shared" si="1"/>
        <v>0.1773192793600957</v>
      </c>
      <c r="D27" s="127">
        <f>VLOOKUP("T8_est43",CHAS!$C$1:$J$2762,2,FALSE)</f>
        <v>47955</v>
      </c>
      <c r="E27" s="137">
        <f t="shared" si="2"/>
        <v>0.10793747256828387</v>
      </c>
      <c r="F27" s="40"/>
      <c r="I27" s="64"/>
    </row>
    <row r="28" spans="1:9" ht="15" thickBot="1" x14ac:dyDescent="0.4">
      <c r="A28" s="60" t="s">
        <v>11</v>
      </c>
      <c r="B28" s="127">
        <f>VLOOKUP("T8_est122",CHAS!$C$1:$J$2762,2,FALSE)</f>
        <v>59695</v>
      </c>
      <c r="C28" s="139">
        <f t="shared" si="1"/>
        <v>0.44625102788368093</v>
      </c>
      <c r="D28" s="127">
        <f>VLOOKUP("T8_est56",CHAS!$C$1:$J$2762,2,FALSE)</f>
        <v>318800</v>
      </c>
      <c r="E28" s="137">
        <f t="shared" si="2"/>
        <v>0.71755742372576159</v>
      </c>
      <c r="F28" s="40"/>
      <c r="I28" s="64"/>
    </row>
    <row r="29" spans="1:9" ht="15" thickBot="1" x14ac:dyDescent="0.4">
      <c r="A29" s="31" t="s">
        <v>26</v>
      </c>
      <c r="B29" s="138">
        <f>SUM(B24:B28)</f>
        <v>133770</v>
      </c>
      <c r="C29" s="139">
        <f t="shared" si="1"/>
        <v>1</v>
      </c>
      <c r="D29" s="138">
        <f>SUM(D24:D28)</f>
        <v>444285</v>
      </c>
      <c r="E29" s="139">
        <f t="shared" si="2"/>
        <v>1</v>
      </c>
      <c r="F29" s="39"/>
      <c r="G29" s="64"/>
      <c r="I29" s="64"/>
    </row>
    <row r="30" spans="1:9" x14ac:dyDescent="0.35">
      <c r="A30" s="12" t="s">
        <v>4172</v>
      </c>
      <c r="H30" s="64"/>
    </row>
    <row r="31" spans="1:9" x14ac:dyDescent="0.35">
      <c r="H31" s="64"/>
    </row>
    <row r="32" spans="1:9" x14ac:dyDescent="0.35">
      <c r="H32" s="64"/>
    </row>
    <row r="33" spans="1:8" ht="15" thickBot="1" x14ac:dyDescent="0.4">
      <c r="A33" s="9" t="s">
        <v>130</v>
      </c>
      <c r="H33" s="64"/>
    </row>
    <row r="34" spans="1:8" ht="29.5" thickBot="1" x14ac:dyDescent="0.4">
      <c r="A34" s="21" t="s">
        <v>131</v>
      </c>
      <c r="B34" s="1" t="s">
        <v>132</v>
      </c>
      <c r="C34" s="1" t="s">
        <v>133</v>
      </c>
      <c r="D34" s="1" t="s">
        <v>134</v>
      </c>
      <c r="E34" s="1" t="s">
        <v>135</v>
      </c>
      <c r="F34" s="1" t="s">
        <v>136</v>
      </c>
      <c r="H34" s="64"/>
    </row>
    <row r="35" spans="1:8" ht="15" thickBot="1" x14ac:dyDescent="0.4">
      <c r="A35" s="2" t="s">
        <v>137</v>
      </c>
      <c r="B35" s="310">
        <v>915</v>
      </c>
      <c r="C35" s="311">
        <v>1044</v>
      </c>
      <c r="D35" s="311">
        <v>1212</v>
      </c>
      <c r="E35" s="311">
        <v>1542</v>
      </c>
      <c r="F35" s="311">
        <v>1844</v>
      </c>
      <c r="H35" s="64"/>
    </row>
    <row r="36" spans="1:8" ht="15" thickBot="1" x14ac:dyDescent="0.4">
      <c r="A36" s="2" t="s">
        <v>138</v>
      </c>
      <c r="B36" s="309">
        <v>915</v>
      </c>
      <c r="C36" s="312">
        <v>1044</v>
      </c>
      <c r="D36" s="312">
        <v>1212</v>
      </c>
      <c r="E36" s="312">
        <v>1472</v>
      </c>
      <c r="F36" s="312">
        <v>1623</v>
      </c>
      <c r="H36" s="64"/>
    </row>
    <row r="37" spans="1:8" ht="15" thickBot="1" x14ac:dyDescent="0.4">
      <c r="A37" s="2" t="s">
        <v>139</v>
      </c>
      <c r="B37" s="309">
        <v>780</v>
      </c>
      <c r="C37" s="313">
        <v>835</v>
      </c>
      <c r="D37" s="312">
        <v>1002</v>
      </c>
      <c r="E37" s="312">
        <v>1158</v>
      </c>
      <c r="F37" s="312">
        <v>1292</v>
      </c>
    </row>
    <row r="38" spans="1:8" x14ac:dyDescent="0.35">
      <c r="A38" s="12" t="s">
        <v>320</v>
      </c>
    </row>
  </sheetData>
  <mergeCells count="3">
    <mergeCell ref="B22:C22"/>
    <mergeCell ref="D22:E22"/>
    <mergeCell ref="A22:A23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I46"/>
  <sheetViews>
    <sheetView topLeftCell="A22" zoomScaleNormal="100" workbookViewId="0">
      <selection activeCell="G40" sqref="G40"/>
    </sheetView>
  </sheetViews>
  <sheetFormatPr defaultRowHeight="14.5" x14ac:dyDescent="0.35"/>
  <cols>
    <col min="1" max="1" width="57.54296875" customWidth="1"/>
    <col min="2" max="2" width="14" customWidth="1"/>
    <col min="3" max="3" width="14.36328125" customWidth="1"/>
    <col min="4" max="4" width="11" bestFit="1" customWidth="1"/>
    <col min="5" max="5" width="12.26953125" customWidth="1"/>
    <col min="6" max="6" width="10.81640625" customWidth="1"/>
    <col min="8" max="8" width="56.54296875" bestFit="1" customWidth="1"/>
    <col min="9" max="9" width="29.1796875" bestFit="1" customWidth="1"/>
    <col min="10" max="12" width="10.54296875" bestFit="1" customWidth="1"/>
    <col min="13" max="15" width="11.54296875" bestFit="1" customWidth="1"/>
    <col min="16" max="17" width="10.7265625" bestFit="1" customWidth="1"/>
    <col min="18" max="18" width="10.54296875" bestFit="1" customWidth="1"/>
    <col min="19" max="20" width="11.54296875" bestFit="1" customWidth="1"/>
    <col min="23" max="23" width="19.1796875" customWidth="1"/>
  </cols>
  <sheetData>
    <row r="1" spans="1:11" x14ac:dyDescent="0.35">
      <c r="A1" s="35" t="s">
        <v>140</v>
      </c>
      <c r="B1" s="37"/>
    </row>
    <row r="3" spans="1:11" ht="15" thickBot="1" x14ac:dyDescent="0.4">
      <c r="A3" s="44" t="s">
        <v>141</v>
      </c>
      <c r="B3" s="39"/>
      <c r="C3" s="39"/>
      <c r="D3" s="39"/>
      <c r="E3" s="39"/>
    </row>
    <row r="4" spans="1:11" ht="29.25" customHeight="1" thickBot="1" x14ac:dyDescent="0.4">
      <c r="A4" s="286" t="s">
        <v>142</v>
      </c>
      <c r="B4" s="288" t="s">
        <v>143</v>
      </c>
      <c r="C4" s="289"/>
      <c r="D4" s="288" t="s">
        <v>144</v>
      </c>
      <c r="E4" s="289"/>
    </row>
    <row r="5" spans="1:11" ht="15" thickBot="1" x14ac:dyDescent="0.4">
      <c r="A5" s="287"/>
      <c r="B5" s="46" t="s">
        <v>101</v>
      </c>
      <c r="C5" s="46" t="s">
        <v>102</v>
      </c>
      <c r="D5" s="46" t="s">
        <v>101</v>
      </c>
      <c r="E5" s="46" t="s">
        <v>102</v>
      </c>
    </row>
    <row r="6" spans="1:11" ht="16.5" customHeight="1" thickBot="1" x14ac:dyDescent="0.4">
      <c r="A6" s="47" t="s">
        <v>145</v>
      </c>
      <c r="B6" s="48">
        <f>VLOOKUP("b25123_003",'ACS 2017'!$A$1:$F$388,2,FALSE)</f>
        <v>192715</v>
      </c>
      <c r="C6" s="49">
        <f>B6/B$11</f>
        <v>0.29841466964800029</v>
      </c>
      <c r="D6" s="48">
        <f>VLOOKUP("b25123_009",'ACS 2017'!$A$1:$F$388,2,FALSE)</f>
        <v>120291</v>
      </c>
      <c r="E6" s="49">
        <f>D6/D$11</f>
        <v>0.45568915355941447</v>
      </c>
      <c r="I6" s="113"/>
      <c r="J6" s="113"/>
      <c r="K6" s="113"/>
    </row>
    <row r="7" spans="1:11" ht="15" thickBot="1" x14ac:dyDescent="0.4">
      <c r="A7" s="47" t="s">
        <v>146</v>
      </c>
      <c r="B7" s="48">
        <f>VLOOKUP("b25123_004",'ACS 2017'!$A$1:$F$388,2,FALSE)</f>
        <v>4469</v>
      </c>
      <c r="C7" s="49">
        <f t="shared" ref="C7:E10" si="0">B7/B$11</f>
        <v>6.9201419643354868E-3</v>
      </c>
      <c r="D7" s="48">
        <f>VLOOKUP("b25123_010",'ACS 2017'!$A$1:$F$388,2,FALSE)</f>
        <v>10209</v>
      </c>
      <c r="E7" s="49">
        <f t="shared" si="0"/>
        <v>3.8673970360941903E-2</v>
      </c>
      <c r="I7" s="113"/>
      <c r="J7" s="113"/>
      <c r="K7" s="113"/>
    </row>
    <row r="8" spans="1:11" ht="15" thickBot="1" x14ac:dyDescent="0.4">
      <c r="A8" s="47" t="s">
        <v>147</v>
      </c>
      <c r="B8" s="48">
        <f>VLOOKUP("b25123_005",'ACS 2017'!$A$1:$F$388,2,FALSE)</f>
        <v>222</v>
      </c>
      <c r="C8" s="49">
        <f t="shared" si="0"/>
        <v>3.4376180713414141E-4</v>
      </c>
      <c r="D8" s="48">
        <f>VLOOKUP("b25123_011",'ACS 2017'!$A$1:$F$388,2,FALSE)</f>
        <v>258</v>
      </c>
      <c r="E8" s="49">
        <f t="shared" si="0"/>
        <v>9.773615783253023E-4</v>
      </c>
      <c r="I8" s="113"/>
      <c r="J8" s="64"/>
      <c r="K8" s="113"/>
    </row>
    <row r="9" spans="1:11" ht="15" thickBot="1" x14ac:dyDescent="0.4">
      <c r="A9" s="47" t="s">
        <v>148</v>
      </c>
      <c r="B9" s="48">
        <f>VLOOKUP("b25123_006",'ACS 2017'!$A$1:$F$388,2,FALSE)</f>
        <v>0</v>
      </c>
      <c r="C9" s="49">
        <f t="shared" si="0"/>
        <v>0</v>
      </c>
      <c r="D9" s="48">
        <f>VLOOKUP("b25123_012",'ACS 2017'!$A$1:$F$388,2,FALSE)</f>
        <v>19</v>
      </c>
      <c r="E9" s="49">
        <f t="shared" si="0"/>
        <v>7.1976240264266453E-5</v>
      </c>
      <c r="I9" s="113"/>
      <c r="J9" s="64"/>
      <c r="K9" s="113"/>
    </row>
    <row r="10" spans="1:11" ht="15" thickBot="1" x14ac:dyDescent="0.4">
      <c r="A10" s="47" t="s">
        <v>149</v>
      </c>
      <c r="B10" s="48">
        <f>VLOOKUP("b25123_007",'ACS 2017'!$A$1:$F$388,2,FALSE)</f>
        <v>448390</v>
      </c>
      <c r="C10" s="49">
        <f t="shared" si="0"/>
        <v>0.69432142658053009</v>
      </c>
      <c r="D10" s="48">
        <f>VLOOKUP("b25123_013",'ACS 2017'!$A$1:$F$388,2,FALSE)</f>
        <v>133199</v>
      </c>
      <c r="E10" s="49">
        <f t="shared" si="0"/>
        <v>0.50458753826105407</v>
      </c>
      <c r="I10" s="113"/>
      <c r="J10" s="64"/>
      <c r="K10" s="113"/>
    </row>
    <row r="11" spans="1:11" ht="15" thickBot="1" x14ac:dyDescent="0.4">
      <c r="A11" s="50" t="s">
        <v>26</v>
      </c>
      <c r="B11" s="51">
        <f>SUM(B6:B10)</f>
        <v>645796</v>
      </c>
      <c r="C11" s="49"/>
      <c r="D11" s="51">
        <f>SUM(D6:D10)</f>
        <v>263976</v>
      </c>
      <c r="E11" s="49"/>
      <c r="I11" s="113"/>
      <c r="J11" s="64"/>
      <c r="K11" s="113"/>
    </row>
    <row r="12" spans="1:11" x14ac:dyDescent="0.35">
      <c r="A12" s="12" t="s">
        <v>4169</v>
      </c>
      <c r="B12" s="39"/>
      <c r="C12" s="39"/>
      <c r="D12" s="39"/>
      <c r="E12" s="39"/>
      <c r="I12" s="113"/>
      <c r="J12" s="113"/>
      <c r="K12" s="113"/>
    </row>
    <row r="13" spans="1:11" x14ac:dyDescent="0.35">
      <c r="I13" s="113"/>
      <c r="J13" s="113"/>
      <c r="K13" s="113"/>
    </row>
    <row r="14" spans="1:11" x14ac:dyDescent="0.35">
      <c r="I14" s="113"/>
      <c r="J14" s="64"/>
      <c r="K14" s="113"/>
    </row>
    <row r="15" spans="1:11" ht="15" thickBot="1" x14ac:dyDescent="0.4">
      <c r="A15" s="9" t="s">
        <v>150</v>
      </c>
      <c r="I15" s="113"/>
      <c r="J15" s="64"/>
      <c r="K15" s="113"/>
    </row>
    <row r="16" spans="1:11" ht="15" thickBot="1" x14ac:dyDescent="0.4">
      <c r="A16" s="284" t="s">
        <v>151</v>
      </c>
      <c r="B16" s="282" t="s">
        <v>143</v>
      </c>
      <c r="C16" s="283"/>
      <c r="D16" s="282" t="s">
        <v>144</v>
      </c>
      <c r="E16" s="283"/>
      <c r="I16" s="113"/>
      <c r="J16" s="64"/>
      <c r="K16" s="113"/>
    </row>
    <row r="17" spans="1:35" ht="15" thickBot="1" x14ac:dyDescent="0.4">
      <c r="A17" s="290"/>
      <c r="B17" s="30" t="s">
        <v>101</v>
      </c>
      <c r="C17" s="30" t="s">
        <v>102</v>
      </c>
      <c r="D17" s="30" t="s">
        <v>101</v>
      </c>
      <c r="E17" s="30" t="s">
        <v>102</v>
      </c>
      <c r="I17" s="113"/>
      <c r="J17" s="64"/>
      <c r="K17" s="113"/>
    </row>
    <row r="18" spans="1:35" ht="15" thickBot="1" x14ac:dyDescent="0.4">
      <c r="A18" s="2" t="s">
        <v>152</v>
      </c>
      <c r="B18" s="48">
        <f>VLOOKUP("b25036_003",'ACS 2017'!$A$1:$F$388,2,FALSE)+VLOOKUP("b25036_004",'ACS 2017'!$A$1:$F$388,2,FALSE)+VLOOKUP("b25036_005",'ACS 2017'!$A$1:$F$388,2,FALSE)</f>
        <v>51120</v>
      </c>
      <c r="C18" s="49">
        <f>B18/B$22</f>
        <v>7.9158124237375269E-2</v>
      </c>
      <c r="D18" s="48">
        <f>VLOOKUP("b25036_014",'ACS 2017'!$A$1:$F$388,2,FALSE)+VLOOKUP("b25036_015",'ACS 2017'!$A$1:$F$388,2,FALSE)+VLOOKUP("b25036_016",'ACS 2017'!$A$1:$F$388,2,FALSE)</f>
        <v>19865</v>
      </c>
      <c r="E18" s="49">
        <f>D18/D$22</f>
        <v>7.5253053307876475E-2</v>
      </c>
      <c r="G18" s="41"/>
      <c r="I18" s="113"/>
      <c r="J18" s="64"/>
      <c r="K18" s="113"/>
    </row>
    <row r="19" spans="1:35" ht="15" thickBot="1" x14ac:dyDescent="0.4">
      <c r="A19" s="2" t="s">
        <v>153</v>
      </c>
      <c r="B19" s="48">
        <f>VLOOKUP("b25036_006",'ACS 2017'!$A$1:$F$388,2,FALSE)+VLOOKUP("b25036_007",'ACS 2017'!$A$1:$F$388,2,FALSE)</f>
        <v>121152</v>
      </c>
      <c r="C19" s="49">
        <f t="shared" ref="C19:E21" si="1">B19/B$22</f>
        <v>0.18760103809871848</v>
      </c>
      <c r="D19" s="48">
        <f>VLOOKUP("b25036_017",'ACS 2017'!$A$1:$F$388,2,FALSE)+VLOOKUP("b25036_018",'ACS 2017'!$A$1:$F$388,2,FALSE)</f>
        <v>52792</v>
      </c>
      <c r="E19" s="49">
        <f t="shared" si="1"/>
        <v>0.19998787768585022</v>
      </c>
      <c r="I19" s="113"/>
      <c r="J19" s="113"/>
      <c r="K19" s="113"/>
    </row>
    <row r="20" spans="1:35" ht="15" thickBot="1" x14ac:dyDescent="0.4">
      <c r="A20" s="2" t="s">
        <v>179</v>
      </c>
      <c r="B20" s="48">
        <f>VLOOKUP("b25036_008",'ACS 2017'!$A$1:$F$388,2,FALSE)+VLOOKUP("b25036_009",'ACS 2017'!$A$1:$F$388,2,FALSE)+VLOOKUP("b25036_010",'ACS 2017'!$A$1:$F$388,2,FALSE)+VLOOKUP("b25036_011",'ACS 2017'!$A$1:$F$388,2,FALSE)</f>
        <v>392876</v>
      </c>
      <c r="C20" s="49">
        <f t="shared" si="1"/>
        <v>0.6083592961244727</v>
      </c>
      <c r="D20" s="48">
        <f>VLOOKUP("b25036_019",'ACS 2017'!$A$1:$F$388,2,FALSE)+VLOOKUP("b25036_020",'ACS 2017'!$A$1:$F$388,2,FALSE)+VLOOKUP("b25036_021",'ACS 2017'!$A$1:$F$388,2,FALSE)+VLOOKUP("b25036_022",'ACS 2017'!$A$1:$F$388,2,FALSE)</f>
        <v>152708</v>
      </c>
      <c r="E20" s="49">
        <f t="shared" si="1"/>
        <v>0.57849198411976843</v>
      </c>
      <c r="F20" s="39"/>
      <c r="I20" s="113"/>
      <c r="J20" s="64"/>
      <c r="K20" s="113"/>
    </row>
    <row r="21" spans="1:35" ht="15" thickBot="1" x14ac:dyDescent="0.4">
      <c r="A21" s="2" t="s">
        <v>180</v>
      </c>
      <c r="B21" s="48">
        <f>VLOOKUP("b25036_012",'ACS 2017'!$A$1:$F$388,2,FALSE)</f>
        <v>80648</v>
      </c>
      <c r="C21" s="49">
        <f t="shared" si="1"/>
        <v>0.12488154153943351</v>
      </c>
      <c r="D21" s="48">
        <f>VLOOKUP("b25036_023",'ACS 2017'!$A$1:$F$388,2,FALSE)</f>
        <v>38611</v>
      </c>
      <c r="E21" s="49">
        <f t="shared" si="1"/>
        <v>0.14626708488650483</v>
      </c>
      <c r="F21" s="39"/>
    </row>
    <row r="22" spans="1:35" ht="15" thickBot="1" x14ac:dyDescent="0.4">
      <c r="A22" s="31" t="s">
        <v>26</v>
      </c>
      <c r="B22" s="29">
        <f>SUM(B18:B21)</f>
        <v>645796</v>
      </c>
      <c r="C22" s="4"/>
      <c r="D22" s="29">
        <f>SUM(D18:D21)</f>
        <v>263976</v>
      </c>
      <c r="E22" s="4"/>
    </row>
    <row r="23" spans="1:35" x14ac:dyDescent="0.35">
      <c r="A23" s="12" t="s">
        <v>4169</v>
      </c>
    </row>
    <row r="26" spans="1:35" ht="15" thickBot="1" x14ac:dyDescent="0.4">
      <c r="A26" s="9" t="s">
        <v>154</v>
      </c>
      <c r="H26" t="s">
        <v>203</v>
      </c>
    </row>
    <row r="27" spans="1:35" ht="15.75" customHeight="1" thickBot="1" x14ac:dyDescent="0.4">
      <c r="A27" s="284" t="s">
        <v>155</v>
      </c>
      <c r="B27" s="282" t="s">
        <v>143</v>
      </c>
      <c r="C27" s="283"/>
      <c r="D27" s="282" t="s">
        <v>144</v>
      </c>
      <c r="E27" s="283"/>
      <c r="I27" s="265" t="s">
        <v>143</v>
      </c>
      <c r="J27" s="266"/>
      <c r="K27" s="266"/>
      <c r="L27" s="266"/>
      <c r="M27" s="266"/>
      <c r="N27" s="267"/>
      <c r="O27" s="265" t="s">
        <v>144</v>
      </c>
      <c r="P27" s="266"/>
      <c r="Q27" s="266"/>
      <c r="R27" s="266"/>
      <c r="S27" s="266"/>
      <c r="T27" s="267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</row>
    <row r="28" spans="1:35" ht="26.5" thickBot="1" x14ac:dyDescent="0.4">
      <c r="A28" s="290"/>
      <c r="B28" s="30" t="s">
        <v>101</v>
      </c>
      <c r="C28" s="30" t="s">
        <v>102</v>
      </c>
      <c r="D28" s="30" t="s">
        <v>101</v>
      </c>
      <c r="E28" s="30" t="s">
        <v>102</v>
      </c>
      <c r="H28" s="70" t="s">
        <v>155</v>
      </c>
      <c r="I28" s="13" t="s">
        <v>22</v>
      </c>
      <c r="J28" s="13" t="s">
        <v>23</v>
      </c>
      <c r="K28" s="13" t="s">
        <v>24</v>
      </c>
      <c r="L28" s="13" t="s">
        <v>25</v>
      </c>
      <c r="M28" s="13" t="s">
        <v>201</v>
      </c>
      <c r="N28" s="13" t="s">
        <v>26</v>
      </c>
      <c r="O28" s="13" t="s">
        <v>22</v>
      </c>
      <c r="P28" s="13" t="s">
        <v>23</v>
      </c>
      <c r="Q28" s="13" t="s">
        <v>24</v>
      </c>
      <c r="R28" s="13" t="s">
        <v>25</v>
      </c>
      <c r="S28" s="72" t="s">
        <v>201</v>
      </c>
      <c r="T28" s="72" t="s">
        <v>26</v>
      </c>
      <c r="U28" s="71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</row>
    <row r="29" spans="1:35" ht="15" thickBot="1" x14ac:dyDescent="0.4">
      <c r="A29" s="14" t="s">
        <v>156</v>
      </c>
      <c r="B29" s="15">
        <f>VLOOKUP("b25036_012",'ACS 2017'!$A$1:$F$388,2,FALSE)+VLOOKUP("b25036_008",'ACS 2017'!$A$1:$F$388,2,FALSE)+VLOOKUP("b25036_009",'ACS 2017'!$A$1:$F$388,2,FALSE)+VLOOKUP("b25036_010",'ACS 2017'!$A$1:$F$388,2,FALSE)+VLOOKUP("b25036_011",'ACS 2017'!$A$1:$F$388,2,FALSE)</f>
        <v>473524</v>
      </c>
      <c r="C29" s="32">
        <f>B29/B22</f>
        <v>0.73324083766390624</v>
      </c>
      <c r="D29" s="15">
        <f>VLOOKUP("b25036_023",'ACS 2017'!$A$1:$F$388,2,FALSE)+VLOOKUP("b25036_019",'ACS 2017'!$A$1:$F$388,2,FALSE)+VLOOKUP("b25036_020",'ACS 2017'!$A$1:$F$388,2,FALSE)+VLOOKUP("b25036_021",'ACS 2017'!$A$1:$F$388,2,FALSE)+VLOOKUP("b25036_022",'ACS 2017'!$A$1:$F$388,2,FALSE)</f>
        <v>191319</v>
      </c>
      <c r="E29" s="32">
        <f>D29/D22</f>
        <v>0.72475906900627329</v>
      </c>
      <c r="H29" s="128" t="s">
        <v>199</v>
      </c>
      <c r="I29" s="127"/>
      <c r="J29" s="127"/>
      <c r="K29" s="127"/>
      <c r="L29" s="127"/>
      <c r="M29" s="127"/>
      <c r="N29" s="130"/>
      <c r="O29" s="127"/>
      <c r="P29" s="127"/>
      <c r="Q29" s="127"/>
      <c r="R29" s="127"/>
      <c r="S29" s="127"/>
      <c r="T29" s="130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</row>
    <row r="30" spans="1:35" ht="29.5" thickBot="1" x14ac:dyDescent="0.4">
      <c r="A30" s="2" t="s">
        <v>181</v>
      </c>
      <c r="B30" s="3">
        <f>VLOOKUP("T13_est21",CHAS!$C$1:$J$2762,2,FALSE)+VLOOKUP("T13_est24",CHAS!$C$1:$J$2762,2,FALSE)+VLOOKUP("T13_est27",CHAS!$C$1:$J$2762,2,FALSE)+VLOOKUP("T13_est30",CHAS!$C$1:$J$2762,2,FALSE)+VLOOKUP("T13_est33",CHAS!$C$1:$J$2762,2,FALSE)+VLOOKUP("T13_est37",CHAS!$C$1:$J$2762,2,FALSE)+VLOOKUP("T13_est40",CHAS!$C$1:$J$2762,2,FALSE)+VLOOKUP("T13_est43",CHAS!$C$1:$J$2762,2,FALSE)+VLOOKUP("T13_est46",CHAS!$C$1:$J$2762,2,FALSE)+VLOOKUP("T13_est49",CHAS!$C$1:$J$2762,2,FALSE)</f>
        <v>64530</v>
      </c>
      <c r="C30" s="4">
        <f>B30/B22</f>
        <v>9.9923195560207873E-2</v>
      </c>
      <c r="D30" s="3">
        <f>VLOOKUP("T13_est70",CHAS!$C$1:$J$2762,2,FALSE)+VLOOKUP("T13_est73",CHAS!$C$1:$J$2762,2,FALSE)+VLOOKUP("T13_est76",CHAS!$C$1:$J$2762,2,FALSE)+VLOOKUP("T13_est79",CHAS!$C$1:$J$2762,2,FALSE)+VLOOKUP("T13_est82",CHAS!$C$1:$J$2762,2,FALSE)+VLOOKUP("T13_est86",CHAS!$C$1:$J$2762,2,FALSE)+VLOOKUP("T13_est89",CHAS!$C$1:$J$2762,2,FALSE)+VLOOKUP("T13_est92",CHAS!$C$1:$J$2762,2,FALSE)+VLOOKUP("T13_est95",CHAS!$C$1:$J$2762,2,FALSE)+VLOOKUP("T13_est98",CHAS!$C$1:$J$2762,2,FALSE)</f>
        <v>40875</v>
      </c>
      <c r="E30" s="4">
        <f>D30/D22</f>
        <v>0.15484362214746794</v>
      </c>
      <c r="H30" s="67" t="s">
        <v>200</v>
      </c>
      <c r="I30" s="127">
        <f xml:space="preserve"> VLOOKUP("T13_est21",CHAS!$C$1:$J$2762,2,FALSE) + VLOOKUP("T13_est37",CHAS!$C$1:$J$2762,2,FALSE)</f>
        <v>4065</v>
      </c>
      <c r="J30" s="127">
        <f xml:space="preserve"> VLOOKUP("T13_est24",CHAS!$C$1:$J$2762,2,FALSE) + VLOOKUP("T13_est40",CHAS!$C$1:$J$2762,2,FALSE)</f>
        <v>6725</v>
      </c>
      <c r="K30" s="127">
        <f xml:space="preserve"> VLOOKUP("T13_est27",CHAS!$C$1:$J$2762,2,FALSE) + VLOOKUP("T13_est43",CHAS!$C$1:$J$2762,2,FALSE)</f>
        <v>10775</v>
      </c>
      <c r="L30" s="127">
        <f xml:space="preserve"> VLOOKUP("T13_est30",CHAS!$C$1:$J$2762,2,FALSE) + VLOOKUP("T13_est46",CHAS!$C$1:$J$2762,2,FALSE)</f>
        <v>7625</v>
      </c>
      <c r="M30" s="127">
        <f xml:space="preserve"> VLOOKUP("T13_est33",CHAS!$C$1:$J$2762,2,FALSE) + VLOOKUP("T13_est49",CHAS!$C$1:$J$2762,2,FALSE)</f>
        <v>35340</v>
      </c>
      <c r="N30" s="127">
        <f>SUM(I30:M30)</f>
        <v>64530</v>
      </c>
      <c r="O30" s="129">
        <f xml:space="preserve"> VLOOKUP("T13_est70",CHAS!$C$1:$J$2762,2,FALSE) + VLOOKUP("T13_est86",CHAS!$C$1:$J$2762,2,FALSE)</f>
        <v>12240</v>
      </c>
      <c r="P30" s="127">
        <f xml:space="preserve"> VLOOKUP("T13_est73",CHAS!$C$1:$J$2762,2,FALSE) + VLOOKUP("T13_est89",CHAS!$C$1:$J$2762,2,FALSE)</f>
        <v>8610</v>
      </c>
      <c r="Q30" s="127">
        <f xml:space="preserve"> VLOOKUP("T13_est76",CHAS!$C$1:$J$2762,2,FALSE) + VLOOKUP("T13_est92",CHAS!$C$1:$J$2762,2,FALSE)</f>
        <v>9165</v>
      </c>
      <c r="R30" s="127">
        <f xml:space="preserve"> VLOOKUP("T13_est79",CHAS!$C$1:$J$2762,2,FALSE) + VLOOKUP("T13_est95",CHAS!$C$1:$J$2762,2,FALSE)</f>
        <v>3735</v>
      </c>
      <c r="S30" s="127">
        <f xml:space="preserve"> VLOOKUP("T13_est82",CHAS!$C$1:$J$2762,2,FALSE) + VLOOKUP("T13_est98",CHAS!$C$1:$J$2762,2,FALSE)</f>
        <v>7125</v>
      </c>
      <c r="T30" s="127">
        <f>SUM(O30:S30)</f>
        <v>40875</v>
      </c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</row>
    <row r="31" spans="1:35" ht="15" thickBot="1" x14ac:dyDescent="0.4">
      <c r="A31" s="12" t="s">
        <v>4173</v>
      </c>
      <c r="H31" s="69" t="s">
        <v>202</v>
      </c>
      <c r="I31" s="73">
        <f>I30/$B$29</f>
        <v>8.5845701590626881E-3</v>
      </c>
      <c r="J31" s="73">
        <f t="shared" ref="J31:N31" si="2">J30/$B$29</f>
        <v>1.4202025662901985E-2</v>
      </c>
      <c r="K31" s="73">
        <f t="shared" si="2"/>
        <v>2.2754918441303926E-2</v>
      </c>
      <c r="L31" s="73">
        <f t="shared" si="2"/>
        <v>1.6102668502546862E-2</v>
      </c>
      <c r="M31" s="73">
        <f t="shared" si="2"/>
        <v>7.4631908836722105E-2</v>
      </c>
      <c r="N31" s="73">
        <f t="shared" si="2"/>
        <v>0.13627609160253756</v>
      </c>
      <c r="O31" s="73">
        <f>O30/$D$29</f>
        <v>6.3976918131497654E-2</v>
      </c>
      <c r="P31" s="73">
        <f t="shared" ref="P31:T31" si="3">P30/$D$29</f>
        <v>4.5003371332695656E-2</v>
      </c>
      <c r="Q31" s="73">
        <f t="shared" si="3"/>
        <v>4.790428551267778E-2</v>
      </c>
      <c r="R31" s="73">
        <f t="shared" si="3"/>
        <v>1.952236840042024E-2</v>
      </c>
      <c r="S31" s="73">
        <f t="shared" si="3"/>
        <v>3.7241465824094835E-2</v>
      </c>
      <c r="T31" s="73">
        <f t="shared" si="3"/>
        <v>0.21364840920138617</v>
      </c>
    </row>
    <row r="32" spans="1:35" x14ac:dyDescent="0.35">
      <c r="H32" s="12" t="s">
        <v>4173</v>
      </c>
    </row>
    <row r="34" spans="1:6" ht="15" thickBot="1" x14ac:dyDescent="0.4">
      <c r="A34" s="227" t="s">
        <v>157</v>
      </c>
      <c r="B34" s="224"/>
      <c r="C34" s="224"/>
      <c r="D34" s="224"/>
    </row>
    <row r="35" spans="1:6" ht="58.5" thickBot="1" x14ac:dyDescent="0.4">
      <c r="A35" s="33"/>
      <c r="B35" s="225" t="s">
        <v>158</v>
      </c>
      <c r="C35" s="225" t="s">
        <v>159</v>
      </c>
      <c r="D35" s="225" t="s">
        <v>26</v>
      </c>
    </row>
    <row r="36" spans="1:6" ht="15" thickBot="1" x14ac:dyDescent="0.4">
      <c r="A36" s="309" t="s">
        <v>4302</v>
      </c>
      <c r="B36" s="186"/>
      <c r="C36" s="186"/>
      <c r="D36" s="186">
        <f>(2200296*0.099)-(1227166*0.122)</f>
        <v>68115.051999999996</v>
      </c>
    </row>
    <row r="37" spans="1:6" ht="15" thickBot="1" x14ac:dyDescent="0.4">
      <c r="A37" s="309" t="s">
        <v>4303</v>
      </c>
      <c r="B37" s="186"/>
      <c r="C37" s="186"/>
      <c r="D37" s="186"/>
    </row>
    <row r="38" spans="1:6" ht="15" thickBot="1" x14ac:dyDescent="0.4">
      <c r="A38" s="309" t="s">
        <v>349</v>
      </c>
      <c r="B38" s="186"/>
      <c r="C38" s="186"/>
      <c r="D38" s="186">
        <f>(5901*0.729)-(2882*0.723)</f>
        <v>2218.1429999999996</v>
      </c>
    </row>
    <row r="39" spans="1:6" ht="15" thickBot="1" x14ac:dyDescent="0.4">
      <c r="A39" s="309" t="s">
        <v>160</v>
      </c>
      <c r="B39" s="186"/>
      <c r="C39" s="186"/>
      <c r="D39" s="186"/>
    </row>
    <row r="40" spans="1:6" s="185" customFormat="1" x14ac:dyDescent="0.35">
      <c r="A40" s="71" t="s">
        <v>4304</v>
      </c>
      <c r="B40" s="188"/>
      <c r="C40" s="188"/>
      <c r="D40" s="188"/>
    </row>
    <row r="41" spans="1:6" ht="58" x14ac:dyDescent="0.35">
      <c r="A41" s="71" t="s">
        <v>4305</v>
      </c>
      <c r="B41" s="71"/>
      <c r="C41" s="224"/>
      <c r="D41" s="224"/>
    </row>
    <row r="42" spans="1:6" s="153" customFormat="1" x14ac:dyDescent="0.35">
      <c r="A42" s="71"/>
    </row>
    <row r="43" spans="1:6" s="185" customFormat="1" x14ac:dyDescent="0.35">
      <c r="A43" s="187"/>
    </row>
    <row r="44" spans="1:6" ht="15" thickBot="1" x14ac:dyDescent="0.4">
      <c r="A44" s="109" t="s">
        <v>209</v>
      </c>
      <c r="B44" s="110"/>
      <c r="C44" s="110"/>
      <c r="D44" s="110"/>
      <c r="E44" s="110"/>
      <c r="F44" s="110"/>
    </row>
    <row r="45" spans="1:6" ht="44" thickBot="1" x14ac:dyDescent="0.4">
      <c r="A45" s="14" t="s">
        <v>210</v>
      </c>
      <c r="B45" s="136">
        <f>(VLOOKUP("T5_est4",CHAS!$C$1:$J$2762,2,FALSE) +
VLOOKUP("T5_est8",CHAS!$C$1:$J$2762,2,FALSE) +
VLOOKUP("T5_est12",CHAS!$C$1:$J$2762,2,FALSE) +
VLOOKUP("T5_est68",CHAS!$C$1:$J$2762,2,FALSE) +
VLOOKUP("T5_est72",CHAS!$C$1:$J$2762,2,FALSE) +
VLOOKUP("T5_est76",CHAS!$C$1:$J$2762,2,FALSE) )/VLOOKUP("T5_est1",CHAS!$C$1:$J$2762,2,FALSE)</f>
        <v>0.29159264046643379</v>
      </c>
      <c r="C45" s="111"/>
      <c r="D45" s="111"/>
      <c r="E45" s="110"/>
      <c r="F45" s="110"/>
    </row>
    <row r="46" spans="1:6" x14ac:dyDescent="0.35">
      <c r="A46" s="12" t="s">
        <v>4171</v>
      </c>
      <c r="B46" s="111"/>
      <c r="C46" s="111"/>
      <c r="D46" s="111"/>
      <c r="E46" s="110"/>
      <c r="F46" s="110"/>
    </row>
  </sheetData>
  <mergeCells count="11">
    <mergeCell ref="I27:N27"/>
    <mergeCell ref="O27:T27"/>
    <mergeCell ref="A27:A28"/>
    <mergeCell ref="B27:C27"/>
    <mergeCell ref="D27:E27"/>
    <mergeCell ref="A4:A5"/>
    <mergeCell ref="B4:C4"/>
    <mergeCell ref="D4:E4"/>
    <mergeCell ref="A16:A17"/>
    <mergeCell ref="B16:C16"/>
    <mergeCell ref="D16:E16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U115"/>
  <sheetViews>
    <sheetView topLeftCell="A52" workbookViewId="0">
      <selection activeCell="D17" sqref="D17"/>
    </sheetView>
  </sheetViews>
  <sheetFormatPr defaultRowHeight="14.5" x14ac:dyDescent="0.35"/>
  <cols>
    <col min="1" max="1" width="36" customWidth="1"/>
    <col min="2" max="2" width="15.26953125" customWidth="1"/>
    <col min="3" max="4" width="15.7265625" bestFit="1" customWidth="1"/>
    <col min="7" max="7" width="24.81640625" bestFit="1" customWidth="1"/>
    <col min="11" max="11" width="10.7265625" bestFit="1" customWidth="1"/>
    <col min="13" max="13" width="9.1796875" style="82"/>
  </cols>
  <sheetData>
    <row r="1" spans="1:21" x14ac:dyDescent="0.35">
      <c r="A1" s="234" t="s">
        <v>161</v>
      </c>
      <c r="B1" s="235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</row>
    <row r="2" spans="1:21" x14ac:dyDescent="0.3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</row>
    <row r="3" spans="1:21" ht="15" thickBot="1" x14ac:dyDescent="0.4">
      <c r="A3" s="227" t="s">
        <v>162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</row>
    <row r="4" spans="1:21" ht="15" thickBot="1" x14ac:dyDescent="0.4">
      <c r="A4" s="300" t="s">
        <v>71</v>
      </c>
      <c r="B4" s="301"/>
      <c r="C4" s="301"/>
      <c r="D4" s="301"/>
      <c r="E4" s="301"/>
      <c r="F4" s="301"/>
      <c r="G4" s="301"/>
      <c r="H4" s="301"/>
      <c r="I4" s="301"/>
      <c r="J4" s="302"/>
      <c r="K4" s="224"/>
      <c r="L4" s="224"/>
      <c r="M4" s="224"/>
      <c r="N4" s="224"/>
      <c r="O4" s="224"/>
    </row>
    <row r="5" spans="1:21" ht="15" thickBot="1" x14ac:dyDescent="0.4">
      <c r="A5" s="291"/>
      <c r="B5" s="294" t="s">
        <v>72</v>
      </c>
      <c r="C5" s="294" t="s">
        <v>73</v>
      </c>
      <c r="D5" s="294" t="s">
        <v>74</v>
      </c>
      <c r="E5" s="297" t="s">
        <v>75</v>
      </c>
      <c r="F5" s="298"/>
      <c r="G5" s="298"/>
      <c r="H5" s="298"/>
      <c r="I5" s="298"/>
      <c r="J5" s="299"/>
      <c r="K5" s="224"/>
      <c r="L5" s="224"/>
      <c r="M5" s="224"/>
      <c r="N5" s="224"/>
      <c r="O5" s="224"/>
    </row>
    <row r="6" spans="1:21" ht="15" customHeight="1" thickBot="1" x14ac:dyDescent="0.4">
      <c r="A6" s="292"/>
      <c r="B6" s="295"/>
      <c r="C6" s="295"/>
      <c r="D6" s="295"/>
      <c r="E6" s="294" t="s">
        <v>26</v>
      </c>
      <c r="F6" s="294" t="s">
        <v>76</v>
      </c>
      <c r="G6" s="294" t="s">
        <v>77</v>
      </c>
      <c r="H6" s="297" t="s">
        <v>78</v>
      </c>
      <c r="I6" s="298"/>
      <c r="J6" s="299"/>
      <c r="K6" s="224"/>
      <c r="L6" s="224"/>
      <c r="M6" s="224"/>
      <c r="N6" s="224"/>
      <c r="O6" s="224"/>
    </row>
    <row r="7" spans="1:21" ht="29.25" customHeight="1" x14ac:dyDescent="0.35">
      <c r="A7" s="292"/>
      <c r="B7" s="295"/>
      <c r="C7" s="295"/>
      <c r="D7" s="295"/>
      <c r="E7" s="295"/>
      <c r="F7" s="295"/>
      <c r="G7" s="295"/>
      <c r="H7" s="294" t="s">
        <v>79</v>
      </c>
      <c r="I7" s="294" t="s">
        <v>80</v>
      </c>
      <c r="J7" s="232" t="s">
        <v>81</v>
      </c>
      <c r="K7" s="224"/>
      <c r="L7" s="237"/>
      <c r="M7" s="237"/>
      <c r="N7" s="237"/>
      <c r="O7" s="237"/>
      <c r="P7" s="76"/>
      <c r="Q7" s="76"/>
      <c r="R7" s="76"/>
      <c r="S7" s="76"/>
      <c r="T7" s="76"/>
      <c r="U7" s="76"/>
    </row>
    <row r="8" spans="1:21" ht="15" thickBot="1" x14ac:dyDescent="0.4">
      <c r="A8" s="293"/>
      <c r="B8" s="296"/>
      <c r="C8" s="296"/>
      <c r="D8" s="296"/>
      <c r="E8" s="296"/>
      <c r="F8" s="296"/>
      <c r="G8" s="296"/>
      <c r="H8" s="296"/>
      <c r="I8" s="296"/>
      <c r="J8" s="233" t="s">
        <v>82</v>
      </c>
      <c r="K8" s="224"/>
      <c r="L8" s="237"/>
      <c r="M8" s="237"/>
      <c r="N8" s="237"/>
      <c r="O8" s="237"/>
      <c r="P8" s="76"/>
      <c r="Q8" s="76"/>
      <c r="R8" s="76"/>
      <c r="S8" s="76"/>
      <c r="T8" s="76"/>
      <c r="U8" s="76"/>
    </row>
    <row r="9" spans="1:21" ht="15" thickBot="1" x14ac:dyDescent="0.4">
      <c r="A9" s="229" t="s">
        <v>163</v>
      </c>
      <c r="B9" s="236" t="s">
        <v>4199</v>
      </c>
      <c r="C9" s="236" t="s">
        <v>4199</v>
      </c>
      <c r="D9" s="245">
        <v>244</v>
      </c>
      <c r="E9" s="241">
        <v>13918</v>
      </c>
      <c r="F9" s="246">
        <v>904</v>
      </c>
      <c r="G9" s="246">
        <v>12935</v>
      </c>
      <c r="H9" s="247">
        <v>324</v>
      </c>
      <c r="I9" s="242">
        <v>20</v>
      </c>
      <c r="J9" s="240"/>
      <c r="K9" s="224"/>
      <c r="L9" s="244"/>
      <c r="M9" s="244"/>
      <c r="N9" s="244"/>
      <c r="O9" s="244"/>
      <c r="P9" s="89"/>
      <c r="Q9" s="89"/>
      <c r="R9" s="90"/>
      <c r="S9" s="90"/>
      <c r="T9" s="89"/>
      <c r="U9" s="76"/>
    </row>
    <row r="10" spans="1:21" ht="15" thickBot="1" x14ac:dyDescent="0.4">
      <c r="A10" s="226" t="s">
        <v>164</v>
      </c>
      <c r="B10" s="236" t="s">
        <v>4199</v>
      </c>
      <c r="C10" s="236" t="s">
        <v>4199</v>
      </c>
      <c r="D10" s="240">
        <v>142</v>
      </c>
      <c r="E10" s="241">
        <v>5049</v>
      </c>
      <c r="F10" s="224">
        <v>426</v>
      </c>
      <c r="G10" s="240">
        <v>4623</v>
      </c>
      <c r="H10" s="240">
        <v>157</v>
      </c>
      <c r="I10" s="240">
        <v>19</v>
      </c>
      <c r="J10" s="240"/>
      <c r="K10" s="224"/>
      <c r="L10" s="244"/>
      <c r="M10" s="244"/>
      <c r="N10" s="244"/>
      <c r="O10" s="244"/>
      <c r="P10" s="89"/>
      <c r="Q10" s="89"/>
      <c r="R10" s="90"/>
      <c r="S10" s="90"/>
      <c r="T10" s="89"/>
      <c r="U10" s="76"/>
    </row>
    <row r="11" spans="1:21" ht="15" thickBot="1" x14ac:dyDescent="0.4">
      <c r="A11" s="231" t="s">
        <v>205</v>
      </c>
      <c r="B11" s="236" t="s">
        <v>4199</v>
      </c>
      <c r="C11" s="236" t="s">
        <v>4199</v>
      </c>
      <c r="D11" s="239">
        <v>0</v>
      </c>
      <c r="E11" s="241">
        <v>341</v>
      </c>
      <c r="F11" s="238">
        <v>1</v>
      </c>
      <c r="G11" s="238">
        <v>314</v>
      </c>
      <c r="H11" s="243">
        <v>2</v>
      </c>
      <c r="I11" s="243">
        <v>2</v>
      </c>
      <c r="J11" s="238"/>
      <c r="K11" s="224"/>
      <c r="L11" s="237"/>
      <c r="M11" s="237"/>
      <c r="N11" s="237"/>
      <c r="O11" s="237"/>
      <c r="P11" s="76"/>
      <c r="Q11" s="76"/>
      <c r="R11" s="76"/>
      <c r="S11" s="76"/>
      <c r="T11" s="76"/>
      <c r="U11" s="76"/>
    </row>
    <row r="12" spans="1:21" ht="15" thickBot="1" x14ac:dyDescent="0.4">
      <c r="A12" s="231" t="s">
        <v>4201</v>
      </c>
      <c r="B12" s="236" t="s">
        <v>4199</v>
      </c>
      <c r="C12" s="236" t="s">
        <v>4199</v>
      </c>
      <c r="D12" s="239">
        <v>0</v>
      </c>
      <c r="E12" s="241">
        <v>9</v>
      </c>
      <c r="F12" s="238">
        <v>0</v>
      </c>
      <c r="G12" s="238">
        <v>6</v>
      </c>
      <c r="H12" s="238">
        <v>0</v>
      </c>
      <c r="I12" s="238">
        <v>0</v>
      </c>
      <c r="J12" s="238"/>
      <c r="K12" s="224"/>
      <c r="L12" s="237"/>
      <c r="M12" s="237"/>
      <c r="N12" s="237"/>
      <c r="O12" s="237"/>
      <c r="P12" s="76"/>
      <c r="Q12" s="76"/>
      <c r="R12" s="76"/>
      <c r="S12" s="76"/>
      <c r="T12" s="76"/>
      <c r="U12" s="76"/>
    </row>
    <row r="13" spans="1:21" x14ac:dyDescent="0.35">
      <c r="A13" s="224" t="s">
        <v>4200</v>
      </c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37"/>
      <c r="M13" s="237"/>
      <c r="N13" s="237"/>
      <c r="O13" s="237"/>
      <c r="P13" s="76"/>
      <c r="Q13" s="76"/>
      <c r="R13" s="76"/>
      <c r="S13" s="76"/>
      <c r="T13" s="76"/>
      <c r="U13" s="76"/>
    </row>
    <row r="14" spans="1:21" x14ac:dyDescent="0.35">
      <c r="A14" s="275" t="s">
        <v>206</v>
      </c>
      <c r="B14" s="275"/>
      <c r="C14" s="275"/>
      <c r="D14" s="275"/>
      <c r="E14" s="275"/>
      <c r="F14" s="275"/>
      <c r="G14" s="275"/>
      <c r="H14" s="275"/>
      <c r="I14" s="275"/>
      <c r="J14" s="275"/>
      <c r="K14" s="224"/>
      <c r="L14" s="224"/>
      <c r="M14" s="224"/>
      <c r="N14" s="224"/>
      <c r="O14" s="224"/>
    </row>
    <row r="15" spans="1:21" x14ac:dyDescent="0.35">
      <c r="A15" s="199"/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</row>
    <row r="16" spans="1:21" ht="15" thickBot="1" x14ac:dyDescent="0.4">
      <c r="A16" s="227" t="s">
        <v>165</v>
      </c>
      <c r="B16" s="224"/>
      <c r="C16" s="237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</row>
    <row r="17" spans="1:15" ht="15" thickBot="1" x14ac:dyDescent="0.4">
      <c r="A17" s="230" t="s">
        <v>166</v>
      </c>
      <c r="B17" s="225" t="s">
        <v>326</v>
      </c>
      <c r="C17" s="225" t="s">
        <v>204</v>
      </c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</row>
    <row r="18" spans="1:15" ht="16" thickBot="1" x14ac:dyDescent="0.4">
      <c r="A18" s="253" t="s">
        <v>4202</v>
      </c>
      <c r="B18" s="248"/>
      <c r="C18" s="252">
        <v>85</v>
      </c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</row>
    <row r="19" spans="1:15" ht="16" thickBot="1" x14ac:dyDescent="0.4">
      <c r="A19" s="253" t="s">
        <v>4203</v>
      </c>
      <c r="B19" s="249"/>
      <c r="C19" s="252">
        <v>43</v>
      </c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</row>
    <row r="20" spans="1:15" ht="16" thickBot="1" x14ac:dyDescent="0.4">
      <c r="A20" s="253" t="s">
        <v>4204</v>
      </c>
      <c r="B20" s="249"/>
      <c r="C20" s="252">
        <v>79</v>
      </c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</row>
    <row r="21" spans="1:15" ht="16" thickBot="1" x14ac:dyDescent="0.4">
      <c r="A21" s="253" t="s">
        <v>4205</v>
      </c>
      <c r="B21" s="249"/>
      <c r="C21" s="252">
        <v>92</v>
      </c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</row>
    <row r="22" spans="1:15" ht="16" thickBot="1" x14ac:dyDescent="0.4">
      <c r="A22" s="253" t="s">
        <v>4206</v>
      </c>
      <c r="B22" s="249"/>
      <c r="C22" s="252">
        <v>67</v>
      </c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</row>
    <row r="23" spans="1:15" ht="16" thickBot="1" x14ac:dyDescent="0.4">
      <c r="A23" s="253" t="s">
        <v>4207</v>
      </c>
      <c r="B23" s="249"/>
      <c r="C23" s="252">
        <v>62</v>
      </c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</row>
    <row r="24" spans="1:15" ht="16" thickBot="1" x14ac:dyDescent="0.4">
      <c r="A24" s="253" t="s">
        <v>4208</v>
      </c>
      <c r="B24" s="249"/>
      <c r="C24" s="254">
        <v>68</v>
      </c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</row>
    <row r="25" spans="1:15" ht="16" thickBot="1" x14ac:dyDescent="0.4">
      <c r="A25" s="253" t="s">
        <v>4209</v>
      </c>
      <c r="B25" s="249"/>
      <c r="C25" s="254">
        <v>41</v>
      </c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</row>
    <row r="26" spans="1:15" ht="16" thickBot="1" x14ac:dyDescent="0.4">
      <c r="A26" s="253" t="s">
        <v>4210</v>
      </c>
      <c r="B26" s="249"/>
      <c r="C26" s="254">
        <v>99</v>
      </c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</row>
    <row r="27" spans="1:15" ht="16" thickBot="1" x14ac:dyDescent="0.4">
      <c r="A27" s="253" t="s">
        <v>4211</v>
      </c>
      <c r="B27" s="249"/>
      <c r="C27" s="254">
        <v>98</v>
      </c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</row>
    <row r="28" spans="1:15" ht="16" thickBot="1" x14ac:dyDescent="0.4">
      <c r="A28" s="253" t="s">
        <v>4212</v>
      </c>
      <c r="B28" s="249"/>
      <c r="C28" s="254">
        <v>99</v>
      </c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</row>
    <row r="29" spans="1:15" ht="16" thickBot="1" x14ac:dyDescent="0.4">
      <c r="A29" s="253" t="s">
        <v>4213</v>
      </c>
      <c r="B29" s="249"/>
      <c r="C29" s="254">
        <v>97</v>
      </c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</row>
    <row r="30" spans="1:15" ht="16" thickBot="1" x14ac:dyDescent="0.4">
      <c r="A30" s="253" t="s">
        <v>4214</v>
      </c>
      <c r="B30" s="249"/>
      <c r="C30" s="254">
        <v>94</v>
      </c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</row>
    <row r="31" spans="1:15" ht="16" thickBot="1" x14ac:dyDescent="0.4">
      <c r="A31" s="253" t="s">
        <v>4215</v>
      </c>
      <c r="B31" s="249"/>
      <c r="C31" s="254">
        <v>99</v>
      </c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</row>
    <row r="32" spans="1:15" ht="16" thickBot="1" x14ac:dyDescent="0.4">
      <c r="A32" s="253" t="s">
        <v>4216</v>
      </c>
      <c r="B32" s="249"/>
      <c r="C32" s="254">
        <v>93</v>
      </c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</row>
    <row r="33" spans="1:15" ht="16" thickBot="1" x14ac:dyDescent="0.4">
      <c r="A33" s="253" t="s">
        <v>4217</v>
      </c>
      <c r="B33" s="249"/>
      <c r="C33" s="254">
        <v>99</v>
      </c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199"/>
      <c r="O33" s="199"/>
    </row>
    <row r="34" spans="1:15" ht="16" thickBot="1" x14ac:dyDescent="0.4">
      <c r="A34" s="253" t="s">
        <v>4218</v>
      </c>
      <c r="B34" s="249"/>
      <c r="C34" s="254">
        <v>60</v>
      </c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199"/>
      <c r="O34" s="199"/>
    </row>
    <row r="35" spans="1:15" ht="16" thickBot="1" x14ac:dyDescent="0.4">
      <c r="A35" s="253" t="s">
        <v>4219</v>
      </c>
      <c r="B35" s="249"/>
      <c r="C35" s="254">
        <v>96</v>
      </c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199"/>
      <c r="O35" s="199"/>
    </row>
    <row r="36" spans="1:15" ht="16" thickBot="1" x14ac:dyDescent="0.4">
      <c r="A36" s="253" t="s">
        <v>4220</v>
      </c>
      <c r="B36" s="249"/>
      <c r="C36" s="254">
        <v>99</v>
      </c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199"/>
      <c r="O36" s="199"/>
    </row>
    <row r="37" spans="1:15" ht="16" thickBot="1" x14ac:dyDescent="0.4">
      <c r="A37" s="253" t="s">
        <v>4221</v>
      </c>
      <c r="B37" s="249"/>
      <c r="C37" s="254">
        <v>89</v>
      </c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199"/>
      <c r="O37" s="199"/>
    </row>
    <row r="38" spans="1:15" ht="16" thickBot="1" x14ac:dyDescent="0.4">
      <c r="A38" s="253" t="s">
        <v>4222</v>
      </c>
      <c r="B38" s="249"/>
      <c r="C38" s="254">
        <v>90</v>
      </c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199"/>
      <c r="O38" s="199"/>
    </row>
    <row r="39" spans="1:15" ht="16" thickBot="1" x14ac:dyDescent="0.4">
      <c r="A39" s="253" t="s">
        <v>4223</v>
      </c>
      <c r="B39" s="249"/>
      <c r="C39" s="254">
        <v>96</v>
      </c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199"/>
      <c r="O39" s="199"/>
    </row>
    <row r="40" spans="1:15" ht="16" thickBot="1" x14ac:dyDescent="0.4">
      <c r="A40" s="253" t="s">
        <v>4224</v>
      </c>
      <c r="B40" s="249"/>
      <c r="C40" s="254">
        <v>96</v>
      </c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199"/>
      <c r="O40" s="199"/>
    </row>
    <row r="41" spans="1:15" ht="16" thickBot="1" x14ac:dyDescent="0.4">
      <c r="A41" s="253" t="s">
        <v>4225</v>
      </c>
      <c r="B41" s="249"/>
      <c r="C41" s="254">
        <v>99</v>
      </c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199"/>
      <c r="O41" s="199"/>
    </row>
    <row r="42" spans="1:15" ht="16" thickBot="1" x14ac:dyDescent="0.4">
      <c r="A42" s="253" t="s">
        <v>4226</v>
      </c>
      <c r="B42" s="249"/>
      <c r="C42" s="254">
        <v>92</v>
      </c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199"/>
      <c r="O42" s="199"/>
    </row>
    <row r="43" spans="1:15" ht="16" thickBot="1" x14ac:dyDescent="0.4">
      <c r="A43" s="253" t="s">
        <v>4227</v>
      </c>
      <c r="B43" s="249"/>
      <c r="C43" s="254">
        <v>93</v>
      </c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199"/>
      <c r="O43" s="199"/>
    </row>
    <row r="44" spans="1:15" ht="16" thickBot="1" x14ac:dyDescent="0.4">
      <c r="A44" s="253" t="s">
        <v>4228</v>
      </c>
      <c r="B44" s="249"/>
      <c r="C44" s="254">
        <v>64</v>
      </c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199"/>
      <c r="O44" s="199"/>
    </row>
    <row r="45" spans="1:15" ht="16" thickBot="1" x14ac:dyDescent="0.4">
      <c r="A45" s="253" t="s">
        <v>4229</v>
      </c>
      <c r="B45" s="249"/>
      <c r="C45" s="254">
        <v>99</v>
      </c>
      <c r="D45" s="224"/>
      <c r="E45" s="224"/>
      <c r="F45" s="224"/>
      <c r="G45" s="228"/>
      <c r="H45" s="224"/>
      <c r="I45" s="224"/>
      <c r="J45" s="224"/>
      <c r="K45" s="224"/>
      <c r="L45" s="224"/>
      <c r="M45" s="224"/>
      <c r="N45" s="199"/>
      <c r="O45" s="199"/>
    </row>
    <row r="46" spans="1:15" ht="16" thickBot="1" x14ac:dyDescent="0.4">
      <c r="A46" s="253" t="s">
        <v>4230</v>
      </c>
      <c r="B46" s="249"/>
      <c r="C46" s="254">
        <v>97</v>
      </c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199"/>
      <c r="O46" s="199"/>
    </row>
    <row r="47" spans="1:15" ht="16" thickBot="1" x14ac:dyDescent="0.4">
      <c r="A47" s="253" t="s">
        <v>4231</v>
      </c>
      <c r="B47" s="249"/>
      <c r="C47" s="254">
        <v>84</v>
      </c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199"/>
      <c r="O47" s="199"/>
    </row>
    <row r="48" spans="1:15" ht="16" thickBot="1" x14ac:dyDescent="0.4">
      <c r="A48" s="253" t="s">
        <v>4232</v>
      </c>
      <c r="B48" s="249"/>
      <c r="C48" s="254">
        <v>90</v>
      </c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199"/>
      <c r="O48" s="199"/>
    </row>
    <row r="49" spans="1:15" ht="16" thickBot="1" x14ac:dyDescent="0.4">
      <c r="A49" s="253" t="s">
        <v>4233</v>
      </c>
      <c r="B49" s="249"/>
      <c r="C49" s="254">
        <v>95</v>
      </c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</row>
    <row r="50" spans="1:15" ht="16" thickBot="1" x14ac:dyDescent="0.4">
      <c r="A50" s="253" t="s">
        <v>4234</v>
      </c>
      <c r="B50" s="249"/>
      <c r="C50" s="254">
        <v>92</v>
      </c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</row>
    <row r="51" spans="1:15" ht="16" thickBot="1" x14ac:dyDescent="0.4">
      <c r="A51" s="253" t="s">
        <v>4235</v>
      </c>
      <c r="B51" s="249"/>
      <c r="C51" s="254">
        <v>55</v>
      </c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</row>
    <row r="52" spans="1:15" ht="16" thickBot="1" x14ac:dyDescent="0.4">
      <c r="A52" s="253" t="s">
        <v>4236</v>
      </c>
      <c r="B52" s="249"/>
      <c r="C52" s="254">
        <v>45</v>
      </c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</row>
    <row r="53" spans="1:15" ht="16" thickBot="1" x14ac:dyDescent="0.4">
      <c r="A53" s="253" t="s">
        <v>4237</v>
      </c>
      <c r="B53" s="249"/>
      <c r="C53" s="254">
        <v>82</v>
      </c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</row>
    <row r="54" spans="1:15" ht="16" thickBot="1" x14ac:dyDescent="0.4">
      <c r="A54" s="253" t="s">
        <v>4238</v>
      </c>
      <c r="B54" s="249"/>
      <c r="C54" s="254">
        <v>85</v>
      </c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199"/>
    </row>
    <row r="55" spans="1:15" ht="16" thickBot="1" x14ac:dyDescent="0.4">
      <c r="A55" s="253" t="s">
        <v>4239</v>
      </c>
      <c r="B55" s="249"/>
      <c r="C55" s="254">
        <v>89</v>
      </c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</row>
    <row r="56" spans="1:15" ht="16" thickBot="1" x14ac:dyDescent="0.4">
      <c r="A56" s="253" t="s">
        <v>4240</v>
      </c>
      <c r="B56" s="249"/>
      <c r="C56" s="254">
        <v>73</v>
      </c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</row>
    <row r="57" spans="1:15" ht="16" thickBot="1" x14ac:dyDescent="0.4">
      <c r="A57" s="253" t="s">
        <v>4241</v>
      </c>
      <c r="B57" s="249"/>
      <c r="C57" s="254">
        <v>91</v>
      </c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</row>
    <row r="58" spans="1:15" ht="16" thickBot="1" x14ac:dyDescent="0.4">
      <c r="A58" s="253" t="s">
        <v>4242</v>
      </c>
      <c r="B58" s="249"/>
      <c r="C58" s="254">
        <v>89</v>
      </c>
      <c r="D58" s="199"/>
      <c r="E58" s="199"/>
      <c r="F58" s="199"/>
      <c r="G58" s="199"/>
      <c r="H58" s="199"/>
      <c r="I58" s="199"/>
      <c r="J58" s="199"/>
      <c r="K58" s="199"/>
      <c r="L58" s="199"/>
      <c r="M58" s="199"/>
      <c r="N58" s="199"/>
      <c r="O58" s="199"/>
    </row>
    <row r="59" spans="1:15" ht="16" thickBot="1" x14ac:dyDescent="0.4">
      <c r="A59" s="253" t="s">
        <v>4243</v>
      </c>
      <c r="B59" s="249"/>
      <c r="C59" s="254">
        <v>93</v>
      </c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</row>
    <row r="60" spans="1:15" ht="16" thickBot="1" x14ac:dyDescent="0.4">
      <c r="A60" s="253" t="s">
        <v>4244</v>
      </c>
      <c r="B60" s="249"/>
      <c r="C60" s="254">
        <v>87</v>
      </c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199"/>
      <c r="O60" s="199"/>
    </row>
    <row r="61" spans="1:15" ht="16" thickBot="1" x14ac:dyDescent="0.4">
      <c r="A61" s="253" t="s">
        <v>4245</v>
      </c>
      <c r="B61" s="249"/>
      <c r="C61" s="254">
        <v>87</v>
      </c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199"/>
      <c r="O61" s="199"/>
    </row>
    <row r="62" spans="1:15" ht="16" thickBot="1" x14ac:dyDescent="0.4">
      <c r="A62" s="253" t="s">
        <v>4246</v>
      </c>
      <c r="B62" s="249"/>
      <c r="C62" s="254">
        <v>60</v>
      </c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199"/>
    </row>
    <row r="63" spans="1:15" ht="16" thickBot="1" x14ac:dyDescent="0.4">
      <c r="A63" s="253" t="s">
        <v>4247</v>
      </c>
      <c r="B63" s="249"/>
      <c r="C63" s="254">
        <v>84</v>
      </c>
      <c r="D63" s="199"/>
      <c r="E63" s="199"/>
      <c r="F63" s="199"/>
      <c r="G63" s="199"/>
      <c r="H63" s="199"/>
      <c r="I63" s="199"/>
      <c r="J63" s="199"/>
      <c r="K63" s="199"/>
      <c r="L63" s="199"/>
      <c r="M63" s="199"/>
      <c r="N63" s="199"/>
      <c r="O63" s="199"/>
    </row>
    <row r="64" spans="1:15" ht="16" thickBot="1" x14ac:dyDescent="0.4">
      <c r="A64" s="253" t="s">
        <v>4248</v>
      </c>
      <c r="B64" s="249"/>
      <c r="C64" s="254">
        <v>89</v>
      </c>
      <c r="D64" s="199"/>
      <c r="E64" s="199"/>
      <c r="F64" s="199"/>
      <c r="G64" s="199"/>
      <c r="H64" s="199"/>
      <c r="I64" s="199"/>
      <c r="J64" s="199"/>
      <c r="K64" s="199"/>
      <c r="L64" s="199"/>
      <c r="M64" s="199"/>
      <c r="N64" s="199"/>
      <c r="O64" s="199"/>
    </row>
    <row r="65" spans="1:15" ht="16" thickBot="1" x14ac:dyDescent="0.4">
      <c r="A65" s="253" t="s">
        <v>4249</v>
      </c>
      <c r="B65" s="249"/>
      <c r="C65" s="254">
        <v>97</v>
      </c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</row>
    <row r="66" spans="1:15" ht="16" thickBot="1" x14ac:dyDescent="0.4">
      <c r="A66" s="253" t="s">
        <v>4250</v>
      </c>
      <c r="B66" s="249"/>
      <c r="C66" s="254">
        <v>99</v>
      </c>
      <c r="D66" s="199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199"/>
    </row>
    <row r="67" spans="1:15" ht="16" thickBot="1" x14ac:dyDescent="0.4">
      <c r="A67" s="253" t="s">
        <v>4251</v>
      </c>
      <c r="B67" s="249"/>
      <c r="C67" s="254">
        <v>88</v>
      </c>
      <c r="D67" s="199"/>
      <c r="E67" s="199"/>
      <c r="F67" s="199"/>
      <c r="G67" s="199"/>
      <c r="H67" s="199"/>
      <c r="I67" s="199"/>
      <c r="J67" s="199"/>
      <c r="K67" s="199"/>
      <c r="L67" s="199"/>
      <c r="M67" s="199"/>
      <c r="N67" s="199"/>
      <c r="O67" s="199"/>
    </row>
    <row r="68" spans="1:15" ht="16" thickBot="1" x14ac:dyDescent="0.4">
      <c r="A68" s="253" t="s">
        <v>4252</v>
      </c>
      <c r="B68" s="249"/>
      <c r="C68" s="254">
        <v>80</v>
      </c>
      <c r="D68" s="199"/>
      <c r="E68" s="199"/>
      <c r="F68" s="199"/>
      <c r="G68" s="199"/>
      <c r="H68" s="199"/>
      <c r="I68" s="199"/>
      <c r="J68" s="199"/>
      <c r="K68" s="199"/>
      <c r="L68" s="199"/>
      <c r="M68" s="199"/>
      <c r="N68" s="199"/>
      <c r="O68" s="199"/>
    </row>
    <row r="69" spans="1:15" ht="16" thickBot="1" x14ac:dyDescent="0.4">
      <c r="A69" s="253" t="s">
        <v>4253</v>
      </c>
      <c r="B69" s="249"/>
      <c r="C69" s="254">
        <v>89</v>
      </c>
      <c r="D69" s="199"/>
      <c r="E69" s="199"/>
      <c r="F69" s="199"/>
      <c r="G69" s="199"/>
      <c r="H69" s="199"/>
      <c r="I69" s="199"/>
      <c r="J69" s="199"/>
      <c r="K69" s="199"/>
      <c r="L69" s="199"/>
      <c r="M69" s="199"/>
      <c r="N69" s="199"/>
      <c r="O69" s="199"/>
    </row>
    <row r="70" spans="1:15" ht="16" thickBot="1" x14ac:dyDescent="0.4">
      <c r="A70" s="253" t="s">
        <v>4254</v>
      </c>
      <c r="B70" s="249"/>
      <c r="C70" s="254">
        <v>86</v>
      </c>
      <c r="D70" s="199"/>
      <c r="E70" s="199"/>
      <c r="F70" s="199"/>
      <c r="G70" s="199"/>
      <c r="H70" s="199"/>
      <c r="I70" s="199"/>
      <c r="J70" s="199"/>
      <c r="K70" s="199"/>
      <c r="L70" s="199"/>
      <c r="M70" s="199"/>
      <c r="N70" s="199"/>
      <c r="O70" s="199"/>
    </row>
    <row r="71" spans="1:15" ht="16" thickBot="1" x14ac:dyDescent="0.4">
      <c r="A71" s="253" t="s">
        <v>4255</v>
      </c>
      <c r="B71" s="249"/>
      <c r="C71" s="254">
        <v>94</v>
      </c>
      <c r="D71" s="199"/>
      <c r="E71" s="199"/>
      <c r="F71" s="199"/>
      <c r="G71" s="199"/>
      <c r="H71" s="199"/>
      <c r="I71" s="199"/>
      <c r="J71" s="199"/>
      <c r="K71" s="199"/>
      <c r="L71" s="199"/>
      <c r="M71" s="199"/>
      <c r="N71" s="199"/>
      <c r="O71" s="199"/>
    </row>
    <row r="72" spans="1:15" ht="16" thickBot="1" x14ac:dyDescent="0.4">
      <c r="A72" s="253" t="s">
        <v>4256</v>
      </c>
      <c r="B72" s="249"/>
      <c r="C72" s="254">
        <v>90</v>
      </c>
      <c r="D72" s="199"/>
      <c r="E72" s="199"/>
      <c r="F72" s="199"/>
      <c r="G72" s="199"/>
      <c r="H72" s="199"/>
      <c r="I72" s="199"/>
      <c r="J72" s="199"/>
      <c r="K72" s="199"/>
      <c r="L72" s="199"/>
      <c r="M72" s="199"/>
      <c r="N72" s="199"/>
      <c r="O72" s="199"/>
    </row>
    <row r="73" spans="1:15" ht="16" thickBot="1" x14ac:dyDescent="0.4">
      <c r="A73" s="253" t="s">
        <v>4257</v>
      </c>
      <c r="B73" s="249"/>
      <c r="C73" s="254">
        <v>96</v>
      </c>
      <c r="D73" s="199"/>
      <c r="E73" s="199"/>
      <c r="F73" s="199"/>
      <c r="G73" s="199"/>
      <c r="H73" s="199"/>
      <c r="I73" s="199"/>
      <c r="J73" s="199"/>
      <c r="K73" s="199"/>
      <c r="L73" s="199"/>
      <c r="M73" s="199"/>
      <c r="N73" s="199"/>
      <c r="O73" s="199"/>
    </row>
    <row r="74" spans="1:15" ht="16" thickBot="1" x14ac:dyDescent="0.4">
      <c r="A74" s="253" t="s">
        <v>4258</v>
      </c>
      <c r="B74" s="249"/>
      <c r="C74" s="254">
        <v>79</v>
      </c>
      <c r="D74" s="199"/>
      <c r="E74" s="199"/>
      <c r="F74" s="199"/>
      <c r="G74" s="199"/>
      <c r="H74" s="199"/>
      <c r="I74" s="199"/>
      <c r="J74" s="199"/>
      <c r="K74" s="199"/>
      <c r="L74" s="199"/>
      <c r="M74" s="199"/>
      <c r="N74" s="199"/>
      <c r="O74" s="199"/>
    </row>
    <row r="75" spans="1:15" ht="16" thickBot="1" x14ac:dyDescent="0.4">
      <c r="A75" s="253" t="s">
        <v>4259</v>
      </c>
      <c r="B75" s="249"/>
      <c r="C75" s="254">
        <v>86</v>
      </c>
      <c r="D75" s="199"/>
      <c r="E75" s="199"/>
      <c r="F75" s="199"/>
      <c r="G75" s="199"/>
      <c r="H75" s="199"/>
      <c r="I75" s="199"/>
      <c r="J75" s="199"/>
      <c r="K75" s="199"/>
      <c r="L75" s="199"/>
      <c r="M75" s="199"/>
      <c r="N75" s="199"/>
      <c r="O75" s="199"/>
    </row>
    <row r="76" spans="1:15" ht="16" thickBot="1" x14ac:dyDescent="0.4">
      <c r="A76" s="253" t="s">
        <v>4260</v>
      </c>
      <c r="B76" s="249"/>
      <c r="C76" s="254">
        <v>81</v>
      </c>
      <c r="D76" s="199"/>
      <c r="E76" s="199"/>
      <c r="F76" s="199"/>
      <c r="G76" s="199"/>
      <c r="H76" s="199"/>
      <c r="I76" s="199"/>
      <c r="J76" s="199"/>
      <c r="K76" s="199"/>
      <c r="L76" s="199"/>
      <c r="M76" s="199"/>
      <c r="N76" s="199"/>
      <c r="O76" s="199"/>
    </row>
    <row r="77" spans="1:15" ht="16" thickBot="1" x14ac:dyDescent="0.4">
      <c r="A77" s="253" t="s">
        <v>4261</v>
      </c>
      <c r="B77" s="249"/>
      <c r="C77" s="254">
        <v>86</v>
      </c>
      <c r="D77" s="199"/>
      <c r="E77" s="199"/>
      <c r="F77" s="199"/>
      <c r="G77" s="199"/>
      <c r="H77" s="199"/>
      <c r="I77" s="199"/>
      <c r="J77" s="199"/>
      <c r="K77" s="199"/>
      <c r="L77" s="199"/>
      <c r="M77" s="199"/>
      <c r="N77" s="199"/>
      <c r="O77" s="199"/>
    </row>
    <row r="78" spans="1:15" ht="16" thickBot="1" x14ac:dyDescent="0.4">
      <c r="A78" s="253" t="s">
        <v>4262</v>
      </c>
      <c r="B78" s="249"/>
      <c r="C78" s="254">
        <v>93</v>
      </c>
      <c r="D78" s="199"/>
      <c r="E78" s="199"/>
      <c r="F78" s="199"/>
      <c r="G78" s="199"/>
      <c r="H78" s="199"/>
      <c r="I78" s="199"/>
      <c r="J78" s="199"/>
      <c r="K78" s="199"/>
      <c r="L78" s="199"/>
      <c r="M78" s="199"/>
      <c r="N78" s="199"/>
      <c r="O78" s="199"/>
    </row>
    <row r="79" spans="1:15" ht="16" thickBot="1" x14ac:dyDescent="0.4">
      <c r="A79" s="253" t="s">
        <v>4263</v>
      </c>
      <c r="B79" s="249"/>
      <c r="C79" s="254">
        <v>99</v>
      </c>
      <c r="D79" s="199"/>
      <c r="E79" s="199"/>
      <c r="F79" s="199"/>
      <c r="G79" s="199"/>
      <c r="H79" s="199"/>
      <c r="I79" s="199"/>
      <c r="J79" s="199"/>
      <c r="K79" s="199"/>
      <c r="L79" s="199"/>
      <c r="M79" s="199"/>
      <c r="N79" s="199"/>
      <c r="O79" s="199"/>
    </row>
    <row r="80" spans="1:15" ht="16" thickBot="1" x14ac:dyDescent="0.4">
      <c r="A80" s="253" t="s">
        <v>4264</v>
      </c>
      <c r="B80" s="249"/>
      <c r="C80" s="254">
        <v>75</v>
      </c>
      <c r="D80" s="199"/>
      <c r="E80" s="199"/>
      <c r="F80" s="199"/>
      <c r="G80" s="199"/>
      <c r="H80" s="199"/>
      <c r="I80" s="199"/>
      <c r="J80" s="199"/>
      <c r="K80" s="199"/>
      <c r="L80" s="199"/>
      <c r="M80" s="199"/>
      <c r="N80" s="199"/>
      <c r="O80" s="199"/>
    </row>
    <row r="81" spans="1:15" ht="16" thickBot="1" x14ac:dyDescent="0.4">
      <c r="A81" s="253" t="s">
        <v>4265</v>
      </c>
      <c r="B81" s="249"/>
      <c r="C81" s="254">
        <v>71</v>
      </c>
      <c r="D81" s="199"/>
      <c r="E81" s="199"/>
      <c r="F81" s="199"/>
      <c r="G81" s="199"/>
      <c r="H81" s="199"/>
      <c r="I81" s="199"/>
      <c r="J81" s="199"/>
      <c r="K81" s="199"/>
      <c r="L81" s="199"/>
      <c r="M81" s="199"/>
      <c r="N81" s="199"/>
      <c r="O81" s="199"/>
    </row>
    <row r="82" spans="1:15" ht="16" thickBot="1" x14ac:dyDescent="0.4">
      <c r="A82" s="253" t="s">
        <v>4266</v>
      </c>
      <c r="B82" s="249"/>
      <c r="C82" s="254">
        <v>65</v>
      </c>
      <c r="D82" s="199"/>
      <c r="E82" s="199"/>
      <c r="F82" s="199"/>
      <c r="G82" s="199"/>
      <c r="H82" s="199"/>
      <c r="I82" s="199"/>
      <c r="J82" s="199"/>
      <c r="K82" s="199"/>
      <c r="L82" s="199"/>
      <c r="M82" s="199"/>
      <c r="N82" s="199"/>
      <c r="O82" s="199"/>
    </row>
    <row r="83" spans="1:15" ht="16" thickBot="1" x14ac:dyDescent="0.4">
      <c r="A83" s="253" t="s">
        <v>4267</v>
      </c>
      <c r="B83" s="249"/>
      <c r="C83" s="254">
        <v>39</v>
      </c>
      <c r="D83" s="199"/>
      <c r="E83" s="199"/>
      <c r="F83" s="199"/>
      <c r="G83" s="199"/>
      <c r="H83" s="199"/>
      <c r="I83" s="199"/>
      <c r="J83" s="199"/>
      <c r="K83" s="199"/>
      <c r="L83" s="199"/>
      <c r="M83" s="199"/>
      <c r="N83" s="199"/>
      <c r="O83" s="199"/>
    </row>
    <row r="84" spans="1:15" ht="16" thickBot="1" x14ac:dyDescent="0.4">
      <c r="A84" s="253" t="s">
        <v>4268</v>
      </c>
      <c r="B84" s="249"/>
      <c r="C84" s="254">
        <v>77</v>
      </c>
      <c r="D84" s="199"/>
      <c r="E84" s="199"/>
      <c r="F84" s="199"/>
      <c r="G84" s="199"/>
      <c r="H84" s="199"/>
      <c r="I84" s="199"/>
      <c r="J84" s="199"/>
      <c r="K84" s="199"/>
      <c r="L84" s="199"/>
      <c r="M84" s="199"/>
      <c r="N84" s="199"/>
      <c r="O84" s="199"/>
    </row>
    <row r="85" spans="1:15" ht="16" thickBot="1" x14ac:dyDescent="0.4">
      <c r="A85" s="253" t="s">
        <v>4269</v>
      </c>
      <c r="B85" s="249"/>
      <c r="C85" s="254">
        <v>69</v>
      </c>
      <c r="D85" s="199"/>
      <c r="E85" s="199"/>
      <c r="F85" s="199"/>
      <c r="G85" s="199"/>
      <c r="H85" s="199"/>
      <c r="I85" s="199"/>
      <c r="J85" s="199"/>
      <c r="K85" s="199"/>
      <c r="L85" s="199"/>
      <c r="M85" s="199"/>
      <c r="N85" s="199"/>
      <c r="O85" s="199"/>
    </row>
    <row r="86" spans="1:15" ht="16" thickBot="1" x14ac:dyDescent="0.4">
      <c r="A86" s="253" t="s">
        <v>4270</v>
      </c>
      <c r="B86" s="249"/>
      <c r="C86" s="254">
        <v>85</v>
      </c>
      <c r="D86" s="199"/>
      <c r="E86" s="199"/>
      <c r="F86" s="199"/>
      <c r="G86" s="199"/>
      <c r="H86" s="199"/>
      <c r="I86" s="199"/>
      <c r="J86" s="199"/>
      <c r="K86" s="199"/>
      <c r="L86" s="199"/>
      <c r="M86" s="199"/>
      <c r="N86" s="199"/>
      <c r="O86" s="199"/>
    </row>
    <row r="87" spans="1:15" ht="16" thickBot="1" x14ac:dyDescent="0.4">
      <c r="A87" s="253" t="s">
        <v>4271</v>
      </c>
      <c r="B87" s="249"/>
      <c r="C87" s="254">
        <v>64</v>
      </c>
      <c r="D87" s="199"/>
      <c r="E87" s="199"/>
      <c r="F87" s="199"/>
      <c r="G87" s="199"/>
      <c r="H87" s="199"/>
      <c r="I87" s="199"/>
      <c r="J87" s="199"/>
      <c r="K87" s="199"/>
      <c r="L87" s="199"/>
      <c r="M87" s="199"/>
      <c r="N87" s="199"/>
      <c r="O87" s="199"/>
    </row>
    <row r="88" spans="1:15" ht="16" thickBot="1" x14ac:dyDescent="0.4">
      <c r="A88" s="253" t="s">
        <v>4272</v>
      </c>
      <c r="B88" s="249"/>
      <c r="C88" s="254">
        <v>63</v>
      </c>
      <c r="D88" s="199"/>
      <c r="E88" s="199"/>
      <c r="F88" s="199"/>
      <c r="G88" s="199"/>
      <c r="H88" s="199"/>
      <c r="I88" s="199"/>
      <c r="J88" s="199"/>
      <c r="K88" s="199"/>
      <c r="L88" s="199"/>
      <c r="M88" s="199"/>
      <c r="N88" s="199"/>
      <c r="O88" s="199"/>
    </row>
    <row r="89" spans="1:15" ht="16" thickBot="1" x14ac:dyDescent="0.4">
      <c r="A89" s="253" t="s">
        <v>4273</v>
      </c>
      <c r="B89" s="249"/>
      <c r="C89" s="254">
        <v>75</v>
      </c>
      <c r="D89" s="199"/>
      <c r="E89" s="199"/>
      <c r="F89" s="199"/>
      <c r="G89" s="199"/>
      <c r="H89" s="199"/>
      <c r="I89" s="199"/>
      <c r="J89" s="199"/>
      <c r="K89" s="199"/>
      <c r="L89" s="199"/>
      <c r="M89" s="199"/>
      <c r="N89" s="199"/>
      <c r="O89" s="199"/>
    </row>
    <row r="90" spans="1:15" ht="16" thickBot="1" x14ac:dyDescent="0.4">
      <c r="A90" s="253" t="s">
        <v>4274</v>
      </c>
      <c r="B90" s="249"/>
      <c r="C90" s="254">
        <v>90</v>
      </c>
      <c r="D90" s="199"/>
      <c r="E90" s="199"/>
      <c r="F90" s="199"/>
      <c r="G90" s="199"/>
      <c r="H90" s="199"/>
      <c r="I90" s="199"/>
      <c r="J90" s="199"/>
      <c r="K90" s="199"/>
      <c r="L90" s="199"/>
      <c r="M90" s="199"/>
      <c r="N90" s="199"/>
      <c r="O90" s="199"/>
    </row>
    <row r="91" spans="1:15" ht="16" thickBot="1" x14ac:dyDescent="0.4">
      <c r="A91" s="253" t="s">
        <v>4275</v>
      </c>
      <c r="B91" s="249"/>
      <c r="C91" s="254">
        <v>95</v>
      </c>
      <c r="D91" s="199"/>
      <c r="E91" s="199"/>
      <c r="F91" s="199"/>
      <c r="G91" s="199"/>
      <c r="H91" s="199"/>
      <c r="I91" s="199"/>
      <c r="J91" s="199"/>
      <c r="K91" s="199"/>
      <c r="L91" s="199"/>
      <c r="M91" s="199"/>
      <c r="N91" s="199"/>
      <c r="O91" s="199"/>
    </row>
    <row r="92" spans="1:15" ht="16" thickBot="1" x14ac:dyDescent="0.4">
      <c r="A92" s="253" t="s">
        <v>4276</v>
      </c>
      <c r="B92" s="249"/>
      <c r="C92" s="254">
        <v>74</v>
      </c>
      <c r="D92" s="199"/>
      <c r="E92" s="199"/>
      <c r="F92" s="199"/>
      <c r="G92" s="199"/>
      <c r="H92" s="199"/>
      <c r="I92" s="199"/>
      <c r="J92" s="199"/>
      <c r="K92" s="199"/>
      <c r="L92" s="199"/>
      <c r="M92" s="199"/>
      <c r="N92" s="199"/>
      <c r="O92" s="199"/>
    </row>
    <row r="93" spans="1:15" ht="16" thickBot="1" x14ac:dyDescent="0.4">
      <c r="A93" s="253" t="s">
        <v>4277</v>
      </c>
      <c r="B93" s="249"/>
      <c r="C93" s="254">
        <v>76</v>
      </c>
      <c r="D93" s="199"/>
      <c r="E93" s="199"/>
      <c r="F93" s="199"/>
      <c r="G93" s="199"/>
      <c r="H93" s="199"/>
      <c r="I93" s="199"/>
      <c r="J93" s="199"/>
      <c r="K93" s="199"/>
      <c r="L93" s="199"/>
      <c r="M93" s="199"/>
      <c r="N93" s="199"/>
      <c r="O93" s="199"/>
    </row>
    <row r="94" spans="1:15" ht="16" thickBot="1" x14ac:dyDescent="0.4">
      <c r="A94" s="253" t="s">
        <v>4278</v>
      </c>
      <c r="B94" s="249"/>
      <c r="C94" s="254">
        <v>85</v>
      </c>
      <c r="D94" s="199"/>
      <c r="E94" s="199"/>
      <c r="F94" s="199"/>
      <c r="G94" s="199"/>
      <c r="H94" s="199"/>
      <c r="I94" s="199"/>
      <c r="J94" s="199"/>
      <c r="K94" s="199"/>
      <c r="L94" s="199"/>
      <c r="M94" s="199"/>
      <c r="N94" s="199"/>
      <c r="O94" s="199"/>
    </row>
    <row r="95" spans="1:15" ht="16" thickBot="1" x14ac:dyDescent="0.4">
      <c r="A95" s="253" t="s">
        <v>4279</v>
      </c>
      <c r="B95" s="249"/>
      <c r="C95" s="254">
        <v>95</v>
      </c>
      <c r="D95" s="199"/>
      <c r="E95" s="199"/>
      <c r="F95" s="199"/>
      <c r="G95" s="199"/>
      <c r="H95" s="199"/>
      <c r="I95" s="199"/>
      <c r="J95" s="199"/>
      <c r="K95" s="199"/>
      <c r="L95" s="199"/>
      <c r="M95" s="199"/>
      <c r="N95" s="199"/>
      <c r="O95" s="199"/>
    </row>
    <row r="96" spans="1:15" ht="16" thickBot="1" x14ac:dyDescent="0.4">
      <c r="A96" s="253" t="s">
        <v>4280</v>
      </c>
      <c r="B96" s="249"/>
      <c r="C96" s="254">
        <v>98</v>
      </c>
      <c r="D96" s="199"/>
      <c r="E96" s="199"/>
      <c r="F96" s="199"/>
      <c r="G96" s="199"/>
      <c r="H96" s="199"/>
      <c r="I96" s="199"/>
      <c r="J96" s="199"/>
      <c r="K96" s="199"/>
      <c r="L96" s="199"/>
      <c r="M96" s="199"/>
      <c r="N96" s="199"/>
      <c r="O96" s="199"/>
    </row>
    <row r="97" spans="1:15" ht="16" thickBot="1" x14ac:dyDescent="0.4">
      <c r="A97" s="253" t="s">
        <v>4281</v>
      </c>
      <c r="B97" s="249"/>
      <c r="C97" s="254">
        <v>83</v>
      </c>
      <c r="D97" s="199"/>
      <c r="E97" s="199"/>
      <c r="F97" s="199"/>
      <c r="G97" s="199"/>
      <c r="H97" s="199"/>
      <c r="I97" s="199"/>
      <c r="J97" s="199"/>
      <c r="K97" s="199"/>
      <c r="L97" s="199"/>
      <c r="M97" s="199"/>
      <c r="N97" s="199"/>
      <c r="O97" s="199"/>
    </row>
    <row r="98" spans="1:15" ht="16" thickBot="1" x14ac:dyDescent="0.4">
      <c r="A98" s="253" t="s">
        <v>4282</v>
      </c>
      <c r="B98" s="249"/>
      <c r="C98" s="254">
        <v>82</v>
      </c>
      <c r="D98" s="199"/>
      <c r="E98" s="199"/>
      <c r="F98" s="199"/>
      <c r="G98" s="199"/>
      <c r="H98" s="199"/>
      <c r="I98" s="199"/>
      <c r="J98" s="199"/>
      <c r="K98" s="199"/>
      <c r="L98" s="199"/>
      <c r="M98" s="199"/>
      <c r="N98" s="199"/>
      <c r="O98" s="199"/>
    </row>
    <row r="99" spans="1:15" ht="16" thickBot="1" x14ac:dyDescent="0.4">
      <c r="A99" s="253" t="s">
        <v>4283</v>
      </c>
      <c r="B99" s="249"/>
      <c r="C99" s="254">
        <v>73</v>
      </c>
      <c r="D99" s="199"/>
      <c r="E99" s="199"/>
      <c r="F99" s="199"/>
      <c r="G99" s="199"/>
      <c r="H99" s="199"/>
      <c r="I99" s="199"/>
      <c r="J99" s="199"/>
      <c r="K99" s="199"/>
      <c r="L99" s="199"/>
      <c r="M99" s="199"/>
      <c r="N99" s="199"/>
      <c r="O99" s="199"/>
    </row>
    <row r="100" spans="1:15" ht="16" thickBot="1" x14ac:dyDescent="0.4">
      <c r="A100" s="253" t="s">
        <v>4284</v>
      </c>
      <c r="B100" s="249"/>
      <c r="C100" s="254">
        <v>86</v>
      </c>
      <c r="D100" s="199"/>
      <c r="E100" s="199"/>
      <c r="F100" s="199"/>
      <c r="G100" s="199"/>
      <c r="H100" s="199"/>
      <c r="I100" s="199"/>
      <c r="J100" s="199"/>
      <c r="K100" s="199"/>
      <c r="L100" s="199"/>
      <c r="M100" s="199"/>
      <c r="N100" s="199"/>
      <c r="O100" s="199"/>
    </row>
    <row r="101" spans="1:15" ht="16" thickBot="1" x14ac:dyDescent="0.4">
      <c r="A101" s="253" t="s">
        <v>4285</v>
      </c>
      <c r="B101" s="249"/>
      <c r="C101" s="254">
        <v>78</v>
      </c>
      <c r="D101" s="199"/>
      <c r="E101" s="199"/>
      <c r="F101" s="199"/>
      <c r="G101" s="199"/>
      <c r="H101" s="199"/>
      <c r="I101" s="199"/>
      <c r="J101" s="199"/>
      <c r="K101" s="199"/>
      <c r="L101" s="199"/>
      <c r="M101" s="199"/>
      <c r="N101" s="199"/>
      <c r="O101" s="199"/>
    </row>
    <row r="102" spans="1:15" ht="16" thickBot="1" x14ac:dyDescent="0.4">
      <c r="A102" s="253" t="s">
        <v>4286</v>
      </c>
      <c r="B102" s="249"/>
      <c r="C102" s="254">
        <v>99</v>
      </c>
      <c r="D102" s="199"/>
      <c r="E102" s="199"/>
      <c r="F102" s="199"/>
      <c r="G102" s="199"/>
      <c r="H102" s="199"/>
      <c r="I102" s="199"/>
      <c r="J102" s="199"/>
      <c r="K102" s="199"/>
      <c r="L102" s="199"/>
      <c r="M102" s="199"/>
      <c r="N102" s="199"/>
      <c r="O102" s="199"/>
    </row>
    <row r="103" spans="1:15" ht="16" thickBot="1" x14ac:dyDescent="0.4">
      <c r="A103" s="253" t="s">
        <v>4287</v>
      </c>
      <c r="B103" s="249"/>
      <c r="C103" s="254">
        <v>86</v>
      </c>
      <c r="D103" s="199"/>
      <c r="E103" s="199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</row>
    <row r="104" spans="1:15" ht="16" thickBot="1" x14ac:dyDescent="0.4">
      <c r="A104" s="253" t="s">
        <v>4288</v>
      </c>
      <c r="B104" s="249"/>
      <c r="C104" s="254">
        <v>71</v>
      </c>
      <c r="D104" s="199"/>
      <c r="E104" s="199"/>
      <c r="F104" s="199"/>
      <c r="G104" s="199"/>
      <c r="H104" s="199"/>
      <c r="I104" s="199"/>
      <c r="J104" s="199"/>
      <c r="K104" s="199"/>
      <c r="L104" s="199"/>
      <c r="M104" s="199"/>
      <c r="N104" s="199"/>
      <c r="O104" s="199"/>
    </row>
    <row r="105" spans="1:15" ht="16" thickBot="1" x14ac:dyDescent="0.4">
      <c r="A105" s="253" t="s">
        <v>4289</v>
      </c>
      <c r="B105" s="249"/>
      <c r="C105" s="254">
        <v>91</v>
      </c>
      <c r="D105" s="199"/>
      <c r="E105" s="199"/>
      <c r="F105" s="199"/>
      <c r="G105" s="199"/>
      <c r="H105" s="199"/>
      <c r="I105" s="199"/>
      <c r="J105" s="199"/>
      <c r="K105" s="199"/>
      <c r="L105" s="199"/>
      <c r="M105" s="199"/>
      <c r="N105" s="199"/>
      <c r="O105" s="199"/>
    </row>
    <row r="106" spans="1:15" ht="16" thickBot="1" x14ac:dyDescent="0.4">
      <c r="A106" s="253" t="s">
        <v>4290</v>
      </c>
      <c r="B106" s="249"/>
      <c r="C106" s="254">
        <v>51</v>
      </c>
      <c r="D106" s="199"/>
      <c r="E106" s="199"/>
      <c r="F106" s="199"/>
      <c r="G106" s="199"/>
      <c r="H106" s="199"/>
      <c r="I106" s="199"/>
      <c r="J106" s="199"/>
      <c r="K106" s="199"/>
      <c r="L106" s="199"/>
      <c r="M106" s="199"/>
      <c r="N106" s="199"/>
      <c r="O106" s="199"/>
    </row>
    <row r="107" spans="1:15" ht="16" thickBot="1" x14ac:dyDescent="0.4">
      <c r="A107" s="253" t="s">
        <v>4291</v>
      </c>
      <c r="B107" s="249"/>
      <c r="C107" s="254">
        <v>70</v>
      </c>
      <c r="D107" s="199"/>
      <c r="E107" s="199"/>
      <c r="F107" s="199"/>
      <c r="G107" s="199"/>
      <c r="H107" s="199"/>
      <c r="I107" s="199"/>
      <c r="J107" s="199"/>
      <c r="K107" s="199"/>
      <c r="L107" s="199"/>
      <c r="M107" s="199"/>
      <c r="N107" s="199"/>
      <c r="O107" s="199"/>
    </row>
    <row r="108" spans="1:15" ht="16" thickBot="1" x14ac:dyDescent="0.4">
      <c r="A108" s="253" t="s">
        <v>4292</v>
      </c>
      <c r="B108" s="249"/>
      <c r="C108" s="254">
        <v>97</v>
      </c>
      <c r="D108" s="199"/>
      <c r="E108" s="199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</row>
    <row r="109" spans="1:15" ht="16" thickBot="1" x14ac:dyDescent="0.4">
      <c r="A109" s="253" t="s">
        <v>4293</v>
      </c>
      <c r="B109" s="249"/>
      <c r="C109" s="254">
        <v>86</v>
      </c>
      <c r="D109" s="199"/>
      <c r="E109" s="199"/>
      <c r="F109" s="199"/>
      <c r="G109" s="199"/>
      <c r="H109" s="199"/>
      <c r="I109" s="199"/>
      <c r="J109" s="199"/>
      <c r="K109" s="199"/>
      <c r="L109" s="199"/>
      <c r="M109" s="199"/>
      <c r="N109" s="199"/>
      <c r="O109" s="199"/>
    </row>
    <row r="110" spans="1:15" ht="16" thickBot="1" x14ac:dyDescent="0.4">
      <c r="A110" s="253" t="s">
        <v>4294</v>
      </c>
      <c r="B110" s="249"/>
      <c r="C110" s="253" t="s">
        <v>4295</v>
      </c>
      <c r="D110" s="199"/>
      <c r="E110" s="199"/>
      <c r="F110" s="199"/>
      <c r="G110" s="199"/>
      <c r="H110" s="199"/>
      <c r="I110" s="199"/>
      <c r="J110" s="199"/>
      <c r="K110" s="199"/>
      <c r="L110" s="199"/>
      <c r="M110" s="199"/>
      <c r="N110" s="199"/>
      <c r="O110" s="199"/>
    </row>
    <row r="111" spans="1:15" ht="16" thickBot="1" x14ac:dyDescent="0.4">
      <c r="A111" s="253" t="s">
        <v>4296</v>
      </c>
      <c r="B111" s="249"/>
      <c r="C111" s="253" t="s">
        <v>4297</v>
      </c>
      <c r="D111" s="199"/>
      <c r="E111" s="199"/>
      <c r="F111" s="199"/>
      <c r="G111" s="199"/>
      <c r="H111" s="199"/>
      <c r="I111" s="199"/>
      <c r="J111" s="199"/>
      <c r="K111" s="199"/>
      <c r="L111" s="199"/>
      <c r="M111" s="199"/>
      <c r="N111" s="199"/>
      <c r="O111" s="199"/>
    </row>
    <row r="112" spans="1:15" ht="16" thickBot="1" x14ac:dyDescent="0.4">
      <c r="A112" s="253" t="s">
        <v>4298</v>
      </c>
      <c r="B112" s="249"/>
      <c r="C112" s="253" t="s">
        <v>4299</v>
      </c>
      <c r="D112" s="199"/>
      <c r="E112" s="199"/>
      <c r="F112" s="199"/>
      <c r="G112" s="199"/>
      <c r="H112" s="199"/>
      <c r="I112" s="199"/>
      <c r="J112" s="199"/>
      <c r="K112" s="199"/>
      <c r="L112" s="199"/>
      <c r="M112" s="199"/>
      <c r="N112" s="199"/>
      <c r="O112" s="199"/>
    </row>
    <row r="113" spans="1:15" ht="16" thickBot="1" x14ac:dyDescent="0.4">
      <c r="A113" s="253" t="s">
        <v>4300</v>
      </c>
      <c r="B113" s="249"/>
      <c r="C113" s="253" t="s">
        <v>4301</v>
      </c>
      <c r="D113" s="199"/>
      <c r="E113" s="199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</row>
    <row r="114" spans="1:15" ht="16" thickBot="1" x14ac:dyDescent="0.4">
      <c r="A114" s="250"/>
      <c r="B114" s="224"/>
      <c r="C114" s="224"/>
      <c r="D114" s="199"/>
      <c r="E114" s="199"/>
      <c r="F114" s="199"/>
      <c r="G114" s="199"/>
      <c r="H114" s="199"/>
      <c r="I114" s="199"/>
      <c r="J114" s="199"/>
      <c r="K114" s="199"/>
      <c r="L114" s="199"/>
      <c r="M114" s="199"/>
      <c r="N114" s="199"/>
      <c r="O114" s="199"/>
    </row>
    <row r="115" spans="1:15" ht="16" thickBot="1" x14ac:dyDescent="0.4">
      <c r="A115" s="251"/>
      <c r="B115" s="224"/>
      <c r="C115" s="224"/>
      <c r="D115" s="199"/>
      <c r="E115" s="199"/>
      <c r="F115" s="199"/>
      <c r="G115" s="199"/>
      <c r="H115" s="199"/>
      <c r="I115" s="199"/>
      <c r="J115" s="199"/>
      <c r="K115" s="199"/>
      <c r="L115" s="199"/>
      <c r="M115" s="199"/>
      <c r="N115" s="199"/>
      <c r="O115" s="199"/>
    </row>
  </sheetData>
  <sortState xmlns:xlrd2="http://schemas.microsoft.com/office/spreadsheetml/2017/richdata2" ref="A16:D40">
    <sortCondition ref="C16:C40"/>
  </sortState>
  <mergeCells count="13">
    <mergeCell ref="A14:J14"/>
    <mergeCell ref="I7:I8"/>
    <mergeCell ref="A4:J4"/>
    <mergeCell ref="A5:A8"/>
    <mergeCell ref="B5:B8"/>
    <mergeCell ref="C5:C8"/>
    <mergeCell ref="D5:D8"/>
    <mergeCell ref="E5:J5"/>
    <mergeCell ref="E6:E8"/>
    <mergeCell ref="F6:F8"/>
    <mergeCell ref="G6:G8"/>
    <mergeCell ref="H6:J6"/>
    <mergeCell ref="H7:H8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K15"/>
  <sheetViews>
    <sheetView workbookViewId="0">
      <selection activeCell="F37" sqref="F37"/>
    </sheetView>
  </sheetViews>
  <sheetFormatPr defaultRowHeight="14.5" x14ac:dyDescent="0.35"/>
  <cols>
    <col min="1" max="1" width="56.26953125" bestFit="1" customWidth="1"/>
    <col min="2" max="2" width="24.1796875" bestFit="1" customWidth="1"/>
    <col min="3" max="3" width="23.1796875" bestFit="1" customWidth="1"/>
    <col min="4" max="4" width="14.453125" customWidth="1"/>
    <col min="5" max="5" width="11.1796875" bestFit="1" customWidth="1"/>
    <col min="6" max="6" width="23.1796875" bestFit="1" customWidth="1"/>
    <col min="8" max="8" width="17.81640625" bestFit="1" customWidth="1"/>
    <col min="9" max="9" width="23.1796875" bestFit="1" customWidth="1"/>
    <col min="10" max="10" width="12.81640625" bestFit="1" customWidth="1"/>
    <col min="11" max="11" width="13.7265625" bestFit="1" customWidth="1"/>
  </cols>
  <sheetData>
    <row r="1" spans="1:11" x14ac:dyDescent="0.35">
      <c r="A1" s="36" t="s">
        <v>167</v>
      </c>
      <c r="B1" s="36"/>
      <c r="C1" s="36"/>
    </row>
    <row r="3" spans="1:11" s="161" customFormat="1" ht="15" thickBot="1" x14ac:dyDescent="0.4">
      <c r="A3" s="93"/>
    </row>
    <row r="4" spans="1:11" ht="15" thickBot="1" x14ac:dyDescent="0.4">
      <c r="A4" s="163" t="s">
        <v>347</v>
      </c>
      <c r="I4" s="303" t="s">
        <v>346</v>
      </c>
      <c r="J4" s="304"/>
      <c r="K4" s="305"/>
    </row>
    <row r="5" spans="1:11" ht="15" thickBot="1" x14ac:dyDescent="0.4">
      <c r="A5" s="164"/>
      <c r="B5" s="173" t="s">
        <v>328</v>
      </c>
      <c r="C5" s="173" t="s">
        <v>329</v>
      </c>
      <c r="D5" s="173" t="s">
        <v>330</v>
      </c>
      <c r="E5" s="173" t="s">
        <v>332</v>
      </c>
      <c r="F5" s="173" t="s">
        <v>344</v>
      </c>
      <c r="G5" s="173" t="s">
        <v>345</v>
      </c>
      <c r="H5" s="173" t="s">
        <v>333</v>
      </c>
      <c r="I5" s="177" t="s">
        <v>334</v>
      </c>
      <c r="J5" s="177" t="s">
        <v>335</v>
      </c>
      <c r="K5" s="177" t="s">
        <v>336</v>
      </c>
    </row>
    <row r="6" spans="1:11" ht="15" thickBot="1" x14ac:dyDescent="0.4">
      <c r="A6" s="174" t="s">
        <v>337</v>
      </c>
      <c r="B6" s="168"/>
      <c r="C6" s="170"/>
      <c r="D6" s="170"/>
      <c r="E6" s="168"/>
      <c r="F6" s="170"/>
      <c r="G6" s="168"/>
      <c r="H6" s="168"/>
      <c r="I6" s="178"/>
      <c r="J6" s="179"/>
      <c r="K6" s="179"/>
    </row>
    <row r="7" spans="1:11" s="91" customFormat="1" ht="15" thickBot="1" x14ac:dyDescent="0.4">
      <c r="A7" s="42" t="s">
        <v>338</v>
      </c>
      <c r="B7" s="169">
        <v>32</v>
      </c>
      <c r="C7" s="171">
        <v>121</v>
      </c>
      <c r="D7" s="171">
        <v>59</v>
      </c>
      <c r="E7" s="169">
        <v>5</v>
      </c>
      <c r="F7" s="165">
        <v>185</v>
      </c>
      <c r="G7" s="169">
        <v>423</v>
      </c>
      <c r="H7" s="169">
        <v>8</v>
      </c>
      <c r="I7" s="180"/>
      <c r="J7" s="181"/>
      <c r="K7" s="181"/>
    </row>
    <row r="8" spans="1:11" ht="15" thickBot="1" x14ac:dyDescent="0.4">
      <c r="A8" s="42" t="s">
        <v>339</v>
      </c>
      <c r="B8" s="169"/>
      <c r="C8" s="169"/>
      <c r="D8" s="169">
        <v>29</v>
      </c>
      <c r="E8" s="169"/>
      <c r="F8" s="169">
        <v>29</v>
      </c>
      <c r="G8" s="169"/>
      <c r="H8" s="169"/>
      <c r="I8" s="180"/>
      <c r="J8" s="181">
        <v>14</v>
      </c>
      <c r="K8" s="181"/>
    </row>
    <row r="9" spans="1:11" ht="15" thickBot="1" x14ac:dyDescent="0.4">
      <c r="A9" s="42" t="s">
        <v>208</v>
      </c>
      <c r="B9" s="169">
        <v>63</v>
      </c>
      <c r="C9" s="169">
        <v>174</v>
      </c>
      <c r="D9" s="169">
        <v>78</v>
      </c>
      <c r="E9" s="169">
        <v>1</v>
      </c>
      <c r="F9" s="165">
        <v>253</v>
      </c>
      <c r="G9" s="169"/>
      <c r="H9" s="169"/>
      <c r="I9" s="180"/>
      <c r="J9" s="181">
        <v>12</v>
      </c>
      <c r="K9" s="181"/>
    </row>
    <row r="10" spans="1:11" ht="15" thickBot="1" x14ac:dyDescent="0.4">
      <c r="A10" s="167" t="s">
        <v>340</v>
      </c>
      <c r="B10" s="170"/>
      <c r="C10" s="170"/>
      <c r="D10" s="170"/>
      <c r="E10" s="168"/>
      <c r="F10" s="170"/>
      <c r="G10" s="168"/>
      <c r="H10" s="168"/>
      <c r="I10" s="178"/>
      <c r="J10" s="182"/>
      <c r="K10" s="179"/>
    </row>
    <row r="11" spans="1:11" ht="15" thickBot="1" x14ac:dyDescent="0.4">
      <c r="A11" s="42" t="s">
        <v>341</v>
      </c>
      <c r="B11" s="171">
        <v>135</v>
      </c>
      <c r="C11" s="171">
        <v>459</v>
      </c>
      <c r="D11" s="171">
        <v>1063</v>
      </c>
      <c r="E11" s="169"/>
      <c r="F11" s="172">
        <v>1522</v>
      </c>
      <c r="G11" s="169"/>
      <c r="H11" s="169"/>
      <c r="I11" s="183">
        <f>30+282</f>
        <v>312</v>
      </c>
      <c r="J11" s="184">
        <f>177+580</f>
        <v>757</v>
      </c>
      <c r="K11" s="181"/>
    </row>
    <row r="12" spans="1:11" ht="15" thickBot="1" x14ac:dyDescent="0.4">
      <c r="A12" s="42" t="s">
        <v>342</v>
      </c>
      <c r="B12" s="169">
        <v>73</v>
      </c>
      <c r="C12" s="169">
        <v>240</v>
      </c>
      <c r="D12" s="169">
        <v>78</v>
      </c>
      <c r="E12" s="169"/>
      <c r="F12" s="165">
        <v>318</v>
      </c>
      <c r="G12" s="169"/>
      <c r="H12" s="169"/>
      <c r="I12" s="180"/>
      <c r="J12" s="181">
        <v>56</v>
      </c>
      <c r="K12" s="181"/>
    </row>
    <row r="13" spans="1:11" ht="15" thickBot="1" x14ac:dyDescent="0.4">
      <c r="A13" s="42" t="s">
        <v>331</v>
      </c>
      <c r="B13" s="169">
        <v>3</v>
      </c>
      <c r="C13" s="169">
        <v>6</v>
      </c>
      <c r="D13" s="169">
        <v>4</v>
      </c>
      <c r="E13" s="169"/>
      <c r="F13" s="169">
        <v>10</v>
      </c>
      <c r="G13" s="169"/>
      <c r="H13" s="169"/>
      <c r="I13" s="180"/>
      <c r="J13" s="181"/>
      <c r="K13" s="181"/>
    </row>
    <row r="14" spans="1:11" ht="15" thickBot="1" x14ac:dyDescent="0.4">
      <c r="A14" s="176" t="s">
        <v>343</v>
      </c>
      <c r="B14" s="170"/>
      <c r="C14" s="170"/>
      <c r="D14" s="170"/>
      <c r="E14" s="168"/>
      <c r="F14" s="170"/>
      <c r="G14" s="166"/>
      <c r="H14" s="175"/>
      <c r="I14" s="182"/>
      <c r="J14" s="182"/>
      <c r="K14" s="179"/>
    </row>
    <row r="15" spans="1:11" x14ac:dyDescent="0.35">
      <c r="A15" s="12" t="s">
        <v>348</v>
      </c>
      <c r="I15" s="76"/>
    </row>
  </sheetData>
  <mergeCells count="1">
    <mergeCell ref="I4:K4"/>
  </mergeCells>
  <pageMargins left="0.7" right="0.7" top="0.75" bottom="0.75" header="0.3" footer="0.3"/>
  <pageSetup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C10"/>
  <sheetViews>
    <sheetView workbookViewId="0">
      <selection activeCell="M17" sqref="M17"/>
    </sheetView>
  </sheetViews>
  <sheetFormatPr defaultRowHeight="14.5" x14ac:dyDescent="0.35"/>
  <cols>
    <col min="1" max="1" width="36.54296875" bestFit="1" customWidth="1"/>
  </cols>
  <sheetData>
    <row r="1" spans="1:3" x14ac:dyDescent="0.35">
      <c r="A1" s="36" t="s">
        <v>229</v>
      </c>
      <c r="B1" s="36"/>
      <c r="C1" s="36"/>
    </row>
    <row r="3" spans="1:3" ht="15" thickBot="1" x14ac:dyDescent="0.4">
      <c r="A3" s="9" t="s">
        <v>230</v>
      </c>
    </row>
    <row r="4" spans="1:3" ht="160" thickBot="1" x14ac:dyDescent="0.4">
      <c r="A4" s="147" t="s">
        <v>231</v>
      </c>
      <c r="B4" s="140" t="s">
        <v>232</v>
      </c>
    </row>
    <row r="5" spans="1:3" ht="15" thickBot="1" x14ac:dyDescent="0.4">
      <c r="A5" s="2" t="s">
        <v>233</v>
      </c>
      <c r="B5" s="146"/>
    </row>
    <row r="6" spans="1:3" ht="15" thickBot="1" x14ac:dyDescent="0.4">
      <c r="A6" s="2" t="s">
        <v>234</v>
      </c>
      <c r="B6" s="146"/>
    </row>
    <row r="7" spans="1:3" ht="15" thickBot="1" x14ac:dyDescent="0.4">
      <c r="A7" s="2" t="s">
        <v>235</v>
      </c>
      <c r="B7" s="146"/>
    </row>
    <row r="8" spans="1:3" ht="15" thickBot="1" x14ac:dyDescent="0.4">
      <c r="A8" s="2" t="s">
        <v>236</v>
      </c>
      <c r="B8" s="146">
        <v>9</v>
      </c>
      <c r="C8" t="s">
        <v>4197</v>
      </c>
    </row>
    <row r="9" spans="1:3" ht="15" thickBot="1" x14ac:dyDescent="0.4">
      <c r="A9" s="14" t="s">
        <v>237</v>
      </c>
      <c r="B9" s="146"/>
    </row>
    <row r="10" spans="1:3" ht="29" x14ac:dyDescent="0.35">
      <c r="A10" s="17" t="s">
        <v>228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L260"/>
  <sheetViews>
    <sheetView tabSelected="1" workbookViewId="0">
      <selection activeCell="B18" sqref="B18"/>
    </sheetView>
  </sheetViews>
  <sheetFormatPr defaultRowHeight="14.5" x14ac:dyDescent="0.35"/>
  <cols>
    <col min="1" max="1" width="40.453125" bestFit="1" customWidth="1"/>
    <col min="2" max="2" width="19.26953125" customWidth="1"/>
    <col min="3" max="3" width="11" customWidth="1"/>
    <col min="5" max="5" width="11.26953125" bestFit="1" customWidth="1"/>
    <col min="6" max="6" width="18.54296875" bestFit="1" customWidth="1"/>
    <col min="7" max="7" width="14.26953125" bestFit="1" customWidth="1"/>
  </cols>
  <sheetData>
    <row r="1" spans="1:6" x14ac:dyDescent="0.35">
      <c r="A1" s="36" t="s">
        <v>238</v>
      </c>
      <c r="B1" s="36"/>
      <c r="C1" s="36"/>
    </row>
    <row r="3" spans="1:6" ht="15" thickBot="1" x14ac:dyDescent="0.4">
      <c r="A3" s="9" t="s">
        <v>239</v>
      </c>
    </row>
    <row r="4" spans="1:6" ht="21" x14ac:dyDescent="0.35">
      <c r="A4" s="294" t="s">
        <v>240</v>
      </c>
      <c r="B4" s="294" t="s">
        <v>241</v>
      </c>
      <c r="C4" s="294" t="s">
        <v>242</v>
      </c>
      <c r="D4" s="148" t="s">
        <v>243</v>
      </c>
      <c r="E4" s="148" t="s">
        <v>244</v>
      </c>
      <c r="F4" s="148" t="s">
        <v>245</v>
      </c>
    </row>
    <row r="5" spans="1:6" ht="15" thickBot="1" x14ac:dyDescent="0.4">
      <c r="A5" s="296"/>
      <c r="B5" s="296"/>
      <c r="C5" s="296"/>
      <c r="D5" s="149" t="s">
        <v>102</v>
      </c>
      <c r="E5" s="149" t="s">
        <v>102</v>
      </c>
      <c r="F5" s="149" t="s">
        <v>102</v>
      </c>
    </row>
    <row r="6" spans="1:6" ht="15" thickBot="1" x14ac:dyDescent="0.4">
      <c r="A6" s="2" t="s">
        <v>299</v>
      </c>
      <c r="B6" s="135">
        <f>VLOOKUP("cns01",'LODES 2015'!$A$1:$F$368,2,FALSE)</f>
        <v>841</v>
      </c>
      <c r="C6" s="135">
        <f>VLOOKUP("cns01",'LODES 2015'!$A$1:$F$368,3,FALSE)</f>
        <v>446</v>
      </c>
      <c r="D6" s="152">
        <f>B6/$B$26</f>
        <v>7.1479506799902433E-4</v>
      </c>
      <c r="E6" s="152">
        <f t="shared" ref="E6:E25" si="0">C6/$C$26</f>
        <v>3.598707047494864E-4</v>
      </c>
      <c r="F6" s="152">
        <f>E6-D6</f>
        <v>-3.5492436324953793E-4</v>
      </c>
    </row>
    <row r="7" spans="1:6" ht="15" thickBot="1" x14ac:dyDescent="0.4">
      <c r="A7" s="2" t="s">
        <v>300</v>
      </c>
      <c r="B7" s="135">
        <f>VLOOKUP("cns02",'LODES 2015'!$A$1:$F$368,2,FALSE)</f>
        <v>345</v>
      </c>
      <c r="C7" s="135">
        <f>VLOOKUP("cns02",'LODES 2015'!$A$1:$F$368,3,FALSE)</f>
        <v>296</v>
      </c>
      <c r="D7" s="152">
        <f t="shared" ref="D7:D25" si="1">B7/$B$26</f>
        <v>2.932274654692787E-4</v>
      </c>
      <c r="E7" s="152">
        <f t="shared" si="0"/>
        <v>2.3883795651535422E-4</v>
      </c>
      <c r="F7" s="152">
        <f t="shared" ref="F7:F25" si="2">E7-D7</f>
        <v>-5.438950895392448E-5</v>
      </c>
    </row>
    <row r="8" spans="1:6" ht="15" thickBot="1" x14ac:dyDescent="0.4">
      <c r="A8" s="2" t="s">
        <v>301</v>
      </c>
      <c r="B8" s="135">
        <f>VLOOKUP("cns03",'LODES 2015'!$A$1:$F$368,2,FALSE)</f>
        <v>4425</v>
      </c>
      <c r="C8" s="135">
        <f>VLOOKUP("cns03",'LODES 2015'!$A$1:$F$368,3,FALSE)</f>
        <v>2050</v>
      </c>
      <c r="D8" s="152">
        <f t="shared" si="1"/>
        <v>3.7609609701494441E-3</v>
      </c>
      <c r="E8" s="152">
        <f t="shared" si="0"/>
        <v>1.6541142258664735E-3</v>
      </c>
      <c r="F8" s="152">
        <f t="shared" si="2"/>
        <v>-2.1068467442829707E-3</v>
      </c>
    </row>
    <row r="9" spans="1:6" ht="15" thickBot="1" x14ac:dyDescent="0.4">
      <c r="A9" s="2" t="s">
        <v>246</v>
      </c>
      <c r="B9" s="135">
        <f>VLOOKUP("cns04",'LODES 2015'!$A$1:$F$368,2,FALSE)</f>
        <v>39703</v>
      </c>
      <c r="C9" s="135">
        <f>VLOOKUP("cns04",'LODES 2015'!$A$1:$F$368,3,FALSE)</f>
        <v>48463</v>
      </c>
      <c r="D9" s="152">
        <f t="shared" si="1"/>
        <v>3.37449567000776E-2</v>
      </c>
      <c r="E9" s="152">
        <f t="shared" si="0"/>
        <v>3.9104067184471659E-2</v>
      </c>
      <c r="F9" s="152">
        <f t="shared" si="2"/>
        <v>5.3591104843940598E-3</v>
      </c>
    </row>
    <row r="10" spans="1:6" ht="15" thickBot="1" x14ac:dyDescent="0.4">
      <c r="A10" s="2" t="s">
        <v>248</v>
      </c>
      <c r="B10" s="135">
        <f>VLOOKUP("cns05",'LODES 2015'!$A$1:$F$368,2,FALSE)</f>
        <v>106982</v>
      </c>
      <c r="C10" s="135">
        <f>VLOOKUP("cns05",'LODES 2015'!$A$1:$F$368,3,FALSE)</f>
        <v>127118</v>
      </c>
      <c r="D10" s="152">
        <f t="shared" si="1"/>
        <v>9.0927712205317021E-2</v>
      </c>
      <c r="E10" s="152">
        <f t="shared" si="0"/>
        <v>0.10256960593350944</v>
      </c>
      <c r="F10" s="152">
        <f t="shared" si="2"/>
        <v>1.1641893728192423E-2</v>
      </c>
    </row>
    <row r="11" spans="1:6" ht="15" thickBot="1" x14ac:dyDescent="0.4">
      <c r="A11" s="2" t="s">
        <v>252</v>
      </c>
      <c r="B11" s="135">
        <f>VLOOKUP("cns06",'LODES 2015'!$A$1:$F$368,2,FALSE)</f>
        <v>65445</v>
      </c>
      <c r="C11" s="135">
        <f>VLOOKUP("cns06",'LODES 2015'!$A$1:$F$368,3,FALSE)</f>
        <v>76896</v>
      </c>
      <c r="D11" s="152">
        <f t="shared" si="1"/>
        <v>5.5623975297498386E-2</v>
      </c>
      <c r="E11" s="152">
        <f t="shared" si="0"/>
        <v>6.2046228054745529E-2</v>
      </c>
      <c r="F11" s="152">
        <f t="shared" si="2"/>
        <v>6.4222527572471433E-3</v>
      </c>
    </row>
    <row r="12" spans="1:6" ht="15" thickBot="1" x14ac:dyDescent="0.4">
      <c r="A12" s="2" t="s">
        <v>250</v>
      </c>
      <c r="B12" s="135">
        <f>VLOOKUP("cns07",'LODES 2015'!$A$1:$F$368,2,FALSE)</f>
        <v>127219</v>
      </c>
      <c r="C12" s="135">
        <f>VLOOKUP("cns07",'LODES 2015'!$A$1:$F$368,3,FALSE)</f>
        <v>156565</v>
      </c>
      <c r="D12" s="152">
        <f t="shared" si="1"/>
        <v>0.10812784037546715</v>
      </c>
      <c r="E12" s="152">
        <f t="shared" si="0"/>
        <v>0.12632994818184606</v>
      </c>
      <c r="F12" s="152">
        <f t="shared" si="2"/>
        <v>1.8202107806378917E-2</v>
      </c>
    </row>
    <row r="13" spans="1:6" ht="15" thickBot="1" x14ac:dyDescent="0.4">
      <c r="A13" s="2" t="s">
        <v>251</v>
      </c>
      <c r="B13" s="135">
        <f>VLOOKUP("cns08",'LODES 2015'!$A$1:$F$368,2,FALSE)</f>
        <v>55329</v>
      </c>
      <c r="C13" s="135">
        <f>VLOOKUP("cns08",'LODES 2015'!$A$1:$F$368,3,FALSE)</f>
        <v>60081</v>
      </c>
      <c r="D13" s="152">
        <f t="shared" si="1"/>
        <v>4.7026036049129624E-2</v>
      </c>
      <c r="E13" s="152">
        <f t="shared" si="0"/>
        <v>4.8478456977699314E-2</v>
      </c>
      <c r="F13" s="152">
        <f t="shared" si="2"/>
        <v>1.4524209285696893E-3</v>
      </c>
    </row>
    <row r="14" spans="1:6" ht="15" thickBot="1" x14ac:dyDescent="0.4">
      <c r="A14" s="2" t="s">
        <v>247</v>
      </c>
      <c r="B14" s="135">
        <f>VLOOKUP("cns09",'LODES 2015'!$A$1:$F$368,2,FALSE)</f>
        <v>25457</v>
      </c>
      <c r="C14" s="135">
        <f>VLOOKUP("cns09",'LODES 2015'!$A$1:$F$368,3,FALSE)</f>
        <v>22412</v>
      </c>
      <c r="D14" s="152">
        <f t="shared" si="1"/>
        <v>2.163678721290269E-2</v>
      </c>
      <c r="E14" s="152">
        <f t="shared" si="0"/>
        <v>1.8083906356155807E-2</v>
      </c>
      <c r="F14" s="152">
        <f t="shared" si="2"/>
        <v>-3.5528808567468831E-3</v>
      </c>
    </row>
    <row r="15" spans="1:6" ht="15" thickBot="1" x14ac:dyDescent="0.4">
      <c r="A15" s="2" t="s">
        <v>302</v>
      </c>
      <c r="B15" s="135">
        <f>VLOOKUP("cns10",'LODES 2015'!$A$1:$F$368,2,FALSE)</f>
        <v>60181</v>
      </c>
      <c r="C15" s="135">
        <f>VLOOKUP("cns10",'LODES 2015'!$A$1:$F$368,3,FALSE)</f>
        <v>41729</v>
      </c>
      <c r="D15" s="152">
        <f t="shared" si="1"/>
        <v>5.1149919128714957E-2</v>
      </c>
      <c r="E15" s="152">
        <f t="shared" si="0"/>
        <v>3.3670503673747354E-2</v>
      </c>
      <c r="F15" s="152">
        <f t="shared" si="2"/>
        <v>-1.7479415454967603E-2</v>
      </c>
    </row>
    <row r="16" spans="1:6" ht="15" thickBot="1" x14ac:dyDescent="0.4">
      <c r="A16" s="2" t="s">
        <v>303</v>
      </c>
      <c r="B16" s="135">
        <f>VLOOKUP("cns11",'LODES 2015'!$A$1:$F$368,2,FALSE)</f>
        <v>16894</v>
      </c>
      <c r="C16" s="135">
        <f>VLOOKUP("cns11",'LODES 2015'!$A$1:$F$368,3,FALSE)</f>
        <v>14798</v>
      </c>
      <c r="D16" s="152">
        <f t="shared" si="1"/>
        <v>1.4358796526486939E-2</v>
      </c>
      <c r="E16" s="152">
        <f t="shared" si="0"/>
        <v>1.1940284055791256E-2</v>
      </c>
      <c r="F16" s="152">
        <f t="shared" si="2"/>
        <v>-2.4185124706956832E-3</v>
      </c>
    </row>
    <row r="17" spans="1:7" ht="15" thickBot="1" x14ac:dyDescent="0.4">
      <c r="A17" s="2" t="s">
        <v>304</v>
      </c>
      <c r="B17" s="135">
        <f>VLOOKUP("cns12",'LODES 2015'!$A$1:$F$368,2,FALSE)</f>
        <v>89958</v>
      </c>
      <c r="C17" s="135">
        <f>VLOOKUP("cns12",'LODES 2015'!$A$1:$F$368,3,FALSE)</f>
        <v>70547</v>
      </c>
      <c r="D17" s="152">
        <f t="shared" si="1"/>
        <v>7.6458424170102526E-2</v>
      </c>
      <c r="E17" s="152">
        <f t="shared" si="0"/>
        <v>5.6923315264488829E-2</v>
      </c>
      <c r="F17" s="152">
        <f t="shared" si="2"/>
        <v>-1.9535108905613698E-2</v>
      </c>
    </row>
    <row r="18" spans="1:7" ht="15" thickBot="1" x14ac:dyDescent="0.4">
      <c r="A18" s="2" t="s">
        <v>305</v>
      </c>
      <c r="B18" s="135">
        <f>VLOOKUP("cns13",'LODES 2015'!$A$1:$F$368,2,FALSE)</f>
        <v>25267</v>
      </c>
      <c r="C18" s="135">
        <f>VLOOKUP("cns13",'LODES 2015'!$A$1:$F$368,3,FALSE)</f>
        <v>31871</v>
      </c>
      <c r="D18" s="152">
        <f t="shared" si="1"/>
        <v>2.1475299623223955E-2</v>
      </c>
      <c r="E18" s="152">
        <f t="shared" si="0"/>
        <v>2.5716231459800183E-2</v>
      </c>
      <c r="F18" s="152">
        <f t="shared" si="2"/>
        <v>4.2409318365762283E-3</v>
      </c>
    </row>
    <row r="19" spans="1:7" ht="29.5" thickBot="1" x14ac:dyDescent="0.4">
      <c r="A19" s="2" t="s">
        <v>306</v>
      </c>
      <c r="B19" s="135">
        <f>VLOOKUP("cns14",'LODES 2015'!$A$1:$F$368,2,FALSE)</f>
        <v>86272</v>
      </c>
      <c r="C19" s="135">
        <f>VLOOKUP("cns14",'LODES 2015'!$A$1:$F$368,3,FALSE)</f>
        <v>86117</v>
      </c>
      <c r="D19" s="152">
        <f t="shared" si="1"/>
        <v>7.332556493033511E-2</v>
      </c>
      <c r="E19" s="152">
        <f t="shared" si="0"/>
        <v>6.9486514531191756E-2</v>
      </c>
      <c r="F19" s="152">
        <f t="shared" si="2"/>
        <v>-3.8390503991433539E-3</v>
      </c>
    </row>
    <row r="20" spans="1:7" ht="15" thickBot="1" x14ac:dyDescent="0.4">
      <c r="A20" s="2" t="s">
        <v>307</v>
      </c>
      <c r="B20" s="135">
        <f>VLOOKUP("cns15",'LODES 2015'!$A$1:$F$368,2,FALSE)</f>
        <v>109264</v>
      </c>
      <c r="C20" s="135">
        <f>VLOOKUP("cns15",'LODES 2015'!$A$1:$F$368,3,FALSE)</f>
        <v>107515</v>
      </c>
      <c r="D20" s="152">
        <f t="shared" si="1"/>
        <v>9.2867263150826856E-2</v>
      </c>
      <c r="E20" s="152">
        <f t="shared" si="0"/>
        <v>8.6752239509284831E-2</v>
      </c>
      <c r="F20" s="152">
        <f t="shared" si="2"/>
        <v>-6.115023641542025E-3</v>
      </c>
    </row>
    <row r="21" spans="1:7" ht="15" thickBot="1" x14ac:dyDescent="0.4">
      <c r="A21" s="2" t="s">
        <v>308</v>
      </c>
      <c r="B21" s="135">
        <f>VLOOKUP("cns16",'LODES 2015'!$A$1:$F$368,2,FALSE)</f>
        <v>165824</v>
      </c>
      <c r="C21" s="135">
        <f>VLOOKUP("cns16",'LODES 2015'!$A$1:$F$368,3,FALSE)</f>
        <v>190368</v>
      </c>
      <c r="D21" s="152">
        <f t="shared" si="1"/>
        <v>0.14093956879413816</v>
      </c>
      <c r="E21" s="152">
        <f t="shared" si="0"/>
        <v>0.15360508143890186</v>
      </c>
      <c r="F21" s="152">
        <f t="shared" si="2"/>
        <v>1.2665512644763705E-2</v>
      </c>
    </row>
    <row r="22" spans="1:7" ht="15" thickBot="1" x14ac:dyDescent="0.4">
      <c r="A22" s="2" t="s">
        <v>309</v>
      </c>
      <c r="B22" s="135">
        <f>VLOOKUP("cns17",'LODES 2015'!$A$1:$F$368,2,FALSE)</f>
        <v>25324</v>
      </c>
      <c r="C22" s="135">
        <f>VLOOKUP("cns17",'LODES 2015'!$A$1:$F$368,3,FALSE)</f>
        <v>29132</v>
      </c>
      <c r="D22" s="152">
        <f t="shared" si="1"/>
        <v>2.1523745900127574E-2</v>
      </c>
      <c r="E22" s="152">
        <f t="shared" si="0"/>
        <v>2.350617347704493E-2</v>
      </c>
      <c r="F22" s="152">
        <f t="shared" si="2"/>
        <v>1.982427576917356E-3</v>
      </c>
    </row>
    <row r="23" spans="1:7" ht="15" thickBot="1" x14ac:dyDescent="0.4">
      <c r="A23" s="2" t="s">
        <v>310</v>
      </c>
      <c r="B23" s="135">
        <f>VLOOKUP("cns18",'LODES 2015'!$A$1:$F$368,2,FALSE)</f>
        <v>94090</v>
      </c>
      <c r="C23" s="135">
        <f>VLOOKUP("cns18",'LODES 2015'!$A$1:$F$368,3,FALSE)</f>
        <v>99402</v>
      </c>
      <c r="D23" s="152">
        <f t="shared" si="1"/>
        <v>7.9970354278273717E-2</v>
      </c>
      <c r="E23" s="152">
        <f t="shared" si="0"/>
        <v>8.0205981599794723E-2</v>
      </c>
      <c r="F23" s="152">
        <f t="shared" si="2"/>
        <v>2.3562732152100641E-4</v>
      </c>
    </row>
    <row r="24" spans="1:7" ht="29.5" thickBot="1" x14ac:dyDescent="0.4">
      <c r="A24" s="2" t="s">
        <v>311</v>
      </c>
      <c r="B24" s="135">
        <f>VLOOKUP("cns19",'LODES 2015'!$A$1:$F$368,2,FALSE)</f>
        <v>42811</v>
      </c>
      <c r="C24" s="135">
        <f>VLOOKUP("cns19",'LODES 2015'!$A$1:$F$368,3,FALSE)</f>
        <v>42626</v>
      </c>
      <c r="D24" s="152">
        <f t="shared" si="1"/>
        <v>3.6386553693348665E-2</v>
      </c>
      <c r="E24" s="152">
        <f t="shared" si="0"/>
        <v>3.4394279508187464E-2</v>
      </c>
      <c r="F24" s="152">
        <f t="shared" si="2"/>
        <v>-1.9922741851612011E-3</v>
      </c>
      <c r="G24" s="151"/>
    </row>
    <row r="25" spans="1:7" ht="15" thickBot="1" x14ac:dyDescent="0.4">
      <c r="A25" s="14" t="s">
        <v>249</v>
      </c>
      <c r="B25" s="135">
        <f>VLOOKUP("cns20",'LODES 2015'!$A$1:$F$368,2,FALSE)</f>
        <v>34930</v>
      </c>
      <c r="C25" s="135">
        <f>VLOOKUP("cns20",'LODES 2015'!$A$1:$F$368,3,FALSE)</f>
        <v>30902</v>
      </c>
      <c r="D25" s="152">
        <f t="shared" si="1"/>
        <v>2.9688218460411319E-2</v>
      </c>
      <c r="E25" s="152">
        <f t="shared" si="0"/>
        <v>2.4934359906207688E-2</v>
      </c>
      <c r="F25" s="152">
        <f t="shared" si="2"/>
        <v>-4.7538585542036306E-3</v>
      </c>
    </row>
    <row r="26" spans="1:7" ht="15" thickBot="1" x14ac:dyDescent="0.4">
      <c r="A26" s="14" t="s">
        <v>26</v>
      </c>
      <c r="B26" s="3">
        <f>SUM(B6:B25)</f>
        <v>1176561</v>
      </c>
      <c r="C26" s="3">
        <f>SUM(C6:C25)</f>
        <v>1239334</v>
      </c>
      <c r="D26" s="152"/>
      <c r="E26" s="152"/>
      <c r="F26" s="146"/>
    </row>
    <row r="27" spans="1:7" ht="29" x14ac:dyDescent="0.35">
      <c r="A27" s="17" t="s">
        <v>312</v>
      </c>
    </row>
    <row r="29" spans="1:7" ht="15" thickBot="1" x14ac:dyDescent="0.4">
      <c r="A29" s="9" t="s">
        <v>253</v>
      </c>
    </row>
    <row r="30" spans="1:7" ht="15" thickBot="1" x14ac:dyDescent="0.4">
      <c r="A30" s="14" t="s">
        <v>254</v>
      </c>
      <c r="B30" s="15">
        <f>VLOOKUP("b23001_006",'ACS 2017'!$A$1:$F$388,2,FALSE)
+VLOOKUP("b23001_013",'ACS 2017'!$A$1:$F$388,2,FALSE)
+VLOOKUP("b23001_020",'ACS 2017'!$A$1:$F$388,2,FALSE)
+VLOOKUP("b23001_027",'ACS 2017'!$A$1:$F$388,2,FALSE)
+VLOOKUP("b23001_034",'ACS 2017'!$A$1:$F$388,2,FALSE)
+VLOOKUP("b23001_041",'ACS 2017'!$A$1:$F$388,2,FALSE)
+VLOOKUP("b23001_048",'ACS 2017'!$A$1:$F$388,2,FALSE)
+VLOOKUP("b23001_055",'ACS 2017'!$A$1:$F$388,2,FALSE)
+VLOOKUP("b23001_062",'ACS 2017'!$A$1:$F$388,2,FALSE)
+VLOOKUP("b23001_069",'ACS 2017'!$A$1:$F$388,2,FALSE)
+VLOOKUP("b23001_092",'ACS 2017'!$A$1:$F$388,2,FALSE)
+VLOOKUP("b23001_099",'ACS 2017'!$A$1:$F$388,2,FALSE)
+VLOOKUP("b23001_106",'ACS 2017'!$A$1:$F$388,2,FALSE)
+VLOOKUP("b23001_113",'ACS 2017'!$A$1:$F$388,2,FALSE)
+VLOOKUP("b23001_120",'ACS 2017'!$A$1:$F$388,2,FALSE)
+VLOOKUP("b23001_127",'ACS 2017'!$A$1:$F$388,2,FALSE)
+VLOOKUP("b23001_134",'ACS 2017'!$A$1:$F$388,2,FALSE)
+VLOOKUP("b23001_141",'ACS 2017'!$A$1:$F$388,2,FALSE)
+VLOOKUP("b23001_148",'ACS 2017'!$A$1:$F$388,2,FALSE)
+VLOOKUP("b23001_155",'ACS 2017'!$A$1:$F$388,2,FALSE)</f>
        <v>1229126</v>
      </c>
    </row>
    <row r="31" spans="1:7" ht="29.5" thickBot="1" x14ac:dyDescent="0.4">
      <c r="A31" s="2" t="s">
        <v>255</v>
      </c>
      <c r="B31" s="3">
        <f>VLOOKUP("b23001_007",'ACS 2017'!$A$1:$F$388,2,FALSE)
+VLOOKUP("b23001_014",'ACS 2017'!$A$1:$F$388,2,FALSE)
+VLOOKUP("b23001_021",'ACS 2017'!$A$1:$F$388,2,FALSE)
+VLOOKUP("b23001_028",'ACS 2017'!$A$1:$F$388,2,FALSE)
+VLOOKUP("b23001_035",'ACS 2017'!$A$1:$F$388,2,FALSE)
+VLOOKUP("b23001_042",'ACS 2017'!$A$1:$F$388,2,FALSE)
+VLOOKUP("b23001_049",'ACS 2017'!$A$1:$F$388,2,FALSE)
+VLOOKUP("b23001_056",'ACS 2017'!$A$1:$F$388,2,FALSE)
+VLOOKUP("b23001_063",'ACS 2017'!$A$1:$F$388,2,FALSE)
+VLOOKUP("b23001_070",'ACS 2017'!$A$1:$F$388,2,FALSE)
+VLOOKUP("b23001_093",'ACS 2017'!$A$1:$F$388,2,FALSE)
+VLOOKUP("b23001_100",'ACS 2017'!$A$1:$F$388,2,FALSE)
+VLOOKUP("b23001_107",'ACS 2017'!$A$1:$F$388,2,FALSE)
+VLOOKUP("b23001_114",'ACS 2017'!$A$1:$F$388,2,FALSE)
+VLOOKUP("b23001_121",'ACS 2017'!$A$1:$F$388,2,FALSE)
+VLOOKUP("b23001_128",'ACS 2017'!$A$1:$F$388,2,FALSE)
+VLOOKUP("b23001_135",'ACS 2017'!$A$1:$F$388,2,FALSE)
+VLOOKUP("b23001_142",'ACS 2017'!$A$1:$F$388,2,FALSE)
+VLOOKUP("b23001_149",'ACS 2017'!$A$1:$F$388,2,FALSE)
+VLOOKUP("b23001_156",'ACS 2017'!$A$1:$F$388,2,FALSE)</f>
        <v>1136432</v>
      </c>
    </row>
    <row r="32" spans="1:7" ht="15" thickBot="1" x14ac:dyDescent="0.4">
      <c r="A32" s="2" t="s">
        <v>256</v>
      </c>
      <c r="B32" s="152">
        <f>(VLOOKUP("b23001_008",'ACS 2017'!$A$1:$F$388,2,FALSE)
+VLOOKUP("b23001_015",'ACS 2017'!$A$1:$F$388,2,FALSE)
+VLOOKUP("b23001_022",'ACS 2017'!$A$1:$F$388,2,FALSE)
+VLOOKUP("b23001_029",'ACS 2017'!$A$1:$F$388,2,FALSE)
+VLOOKUP("b23001_036",'ACS 2017'!$A$1:$F$388,2,FALSE)
+VLOOKUP("b23001_043",'ACS 2017'!$A$1:$F$388,2,FALSE)
+VLOOKUP("b23001_050",'ACS 2017'!$A$1:$F$388,2,FALSE)
+VLOOKUP("b23001_057",'ACS 2017'!$A$1:$F$388,2,FALSE)
+VLOOKUP("b23001_064",'ACS 2017'!$A$1:$F$388,2,FALSE)
+VLOOKUP("b23001_071",'ACS 2017'!$A$1:$F$388,2,FALSE)
+VLOOKUP("b23001_094",'ACS 2017'!$A$1:$F$388,2,FALSE)
+VLOOKUP("b23001_101",'ACS 2017'!$A$1:$F$388,2,FALSE)
+VLOOKUP("b23001_108",'ACS 2017'!$A$1:$F$388,2,FALSE)
+VLOOKUP("b23001_115",'ACS 2017'!$A$1:$F$388,2,FALSE)
+VLOOKUP("b23001_122",'ACS 2017'!$A$1:$F$388,2,FALSE)
+VLOOKUP("b23001_129",'ACS 2017'!$A$1:$F$388,2,FALSE)
+VLOOKUP("b23001_136",'ACS 2017'!$A$1:$F$388,2,FALSE)
+VLOOKUP("b23001_143",'ACS 2017'!$A$1:$F$388,2,FALSE)
+VLOOKUP("b23001_150",'ACS 2017'!$A$1:$F$388,2,FALSE)
+VLOOKUP("b23001_157",'ACS 2017'!$A$1:$F$388,2,FALSE) )/(VLOOKUP("b23001_006",'ACS 2017'!$A$1:$F$388,2,FALSE)
+VLOOKUP("b23001_013",'ACS 2017'!$A$1:$F$388,2,FALSE)
+VLOOKUP("b23001_020",'ACS 2017'!$A$1:$F$388,2,FALSE)
+VLOOKUP("b23001_027",'ACS 2017'!$A$1:$F$388,2,FALSE)
+VLOOKUP("b23001_034",'ACS 2017'!$A$1:$F$388,2,FALSE)
+VLOOKUP("b23001_041",'ACS 2017'!$A$1:$F$388,2,FALSE)
+VLOOKUP("b23001_048",'ACS 2017'!$A$1:$F$388,2,FALSE)
+VLOOKUP("b23001_055",'ACS 2017'!$A$1:$F$388,2,FALSE)
+VLOOKUP("b23001_062",'ACS 2017'!$A$1:$F$388,2,FALSE)
+VLOOKUP("b23001_069",'ACS 2017'!$A$1:$F$388,2,FALSE)
+VLOOKUP("b23001_092",'ACS 2017'!$A$1:$F$388,2,FALSE)
+VLOOKUP("b23001_099",'ACS 2017'!$A$1:$F$388,2,FALSE)
+VLOOKUP("b23001_106",'ACS 2017'!$A$1:$F$388,2,FALSE)
+VLOOKUP("b23001_113",'ACS 2017'!$A$1:$F$388,2,FALSE)
+VLOOKUP("b23001_120",'ACS 2017'!$A$1:$F$388,2,FALSE)
+VLOOKUP("b23001_127",'ACS 2017'!$A$1:$F$388,2,FALSE)
+VLOOKUP("b23001_134",'ACS 2017'!$A$1:$F$388,2,FALSE)
+VLOOKUP("b23001_141",'ACS 2017'!$A$1:$F$388,2,FALSE)
+VLOOKUP("b23001_148",'ACS 2017'!$A$1:$F$388,2,FALSE)
+VLOOKUP("b23001_155",'ACS 2017'!$A$1:$F$388,2,FALSE))</f>
        <v>7.5414562868249477E-2</v>
      </c>
    </row>
    <row r="33" spans="1:8" ht="15" thickBot="1" x14ac:dyDescent="0.4">
      <c r="A33" s="2" t="s">
        <v>257</v>
      </c>
      <c r="B33" s="152">
        <f>(VLOOKUP("b23001_008",'ACS 2017'!$A$1:$F$388,2,FALSE)
+VLOOKUP("b23001_015",'ACS 2017'!$A$1:$F$388,2,FALSE)
+VLOOKUP("b23001_022",'ACS 2017'!$A$1:$F$388,2,FALSE)
+VLOOKUP("b23001_094",'ACS 2017'!$A$1:$F$388,2,FALSE)
+VLOOKUP("b23001_101",'ACS 2017'!$A$1:$F$388,2,FALSE)
+VLOOKUP("b23001_108",'ACS 2017'!$A$1:$F$388,2,FALSE)  )/(VLOOKUP("b23001_006",'ACS 2017'!$A$1:$F$388,2,FALSE)
+VLOOKUP("b23001_013",'ACS 2017'!$A$1:$F$388,2,FALSE)
+VLOOKUP("b23001_020",'ACS 2017'!$A$1:$F$388,2,FALSE)
+VLOOKUP("b23001_092",'ACS 2017'!$A$1:$F$388,2,FALSE)
+VLOOKUP("b23001_099",'ACS 2017'!$A$1:$F$388,2,FALSE)
+VLOOKUP("b23001_106",'ACS 2017'!$A$1:$F$388,2,FALSE) )</f>
        <v>0.16908995076298097</v>
      </c>
    </row>
    <row r="34" spans="1:8" ht="15" thickBot="1" x14ac:dyDescent="0.4">
      <c r="A34" s="14" t="s">
        <v>293</v>
      </c>
      <c r="B34" s="152">
        <f>(VLOOKUP("b23001_029",'ACS 2017'!$A$1:$F$388,2,FALSE)
+VLOOKUP("b23001_036",'ACS 2017'!$A$1:$F$388,2,FALSE)
+VLOOKUP("b23001_043",'ACS 2017'!$A$1:$F$388,2,FALSE)
+VLOOKUP("b23001_050",'ACS 2017'!$A$1:$F$388,2,FALSE)
+VLOOKUP("b23001_057",'ACS 2017'!$A$1:$F$388,2,FALSE)
+VLOOKUP("b23001_064",'ACS 2017'!$A$1:$F$388,2,FALSE)
+VLOOKUP("b23001_071",'ACS 2017'!$A$1:$F$388,2,FALSE)
+VLOOKUP("b23001_115",'ACS 2017'!$A$1:$F$388,2,FALSE)
+VLOOKUP("b23001_122",'ACS 2017'!$A$1:$F$388,2,FALSE)
+VLOOKUP("b23001_129",'ACS 2017'!$A$1:$F$388,2,FALSE)
+VLOOKUP("b23001_136",'ACS 2017'!$A$1:$F$388,2,FALSE)
+VLOOKUP("b23001_143",'ACS 2017'!$A$1:$F$388,2,FALSE)
+VLOOKUP("b23001_150",'ACS 2017'!$A$1:$F$388,2,FALSE)
+VLOOKUP("b23001_157",'ACS 2017'!$A$1:$F$388,2,FALSE) )/(VLOOKUP("b23001_027",'ACS 2017'!$A$1:$F$388,2,FALSE)
+VLOOKUP("b23001_034",'ACS 2017'!$A$1:$F$388,2,FALSE)
+VLOOKUP("b23001_041",'ACS 2017'!$A$1:$F$388,2,FALSE)
+VLOOKUP("b23001_048",'ACS 2017'!$A$1:$F$388,2,FALSE)
+VLOOKUP("b23001_055",'ACS 2017'!$A$1:$F$388,2,FALSE)
+VLOOKUP("b23001_062",'ACS 2017'!$A$1:$F$388,2,FALSE)
+VLOOKUP("b23001_069",'ACS 2017'!$A$1:$F$388,2,FALSE)
+VLOOKUP("b23001_113",'ACS 2017'!$A$1:$F$388,2,FALSE)
+VLOOKUP("b23001_120",'ACS 2017'!$A$1:$F$388,2,FALSE)
+VLOOKUP("b23001_127",'ACS 2017'!$A$1:$F$388,2,FALSE)
+VLOOKUP("b23001_134",'ACS 2017'!$A$1:$F$388,2,FALSE)
+VLOOKUP("b23001_141",'ACS 2017'!$A$1:$F$388,2,FALSE)
+VLOOKUP("b23001_148",'ACS 2017'!$A$1:$F$388,2,FALSE)
+VLOOKUP("b23001_155",'ACS 2017'!$A$1:$F$388,2,FALSE) )</f>
        <v>6.1839575539890008E-2</v>
      </c>
    </row>
    <row r="35" spans="1:8" x14ac:dyDescent="0.35">
      <c r="A35" s="12" t="s">
        <v>4169</v>
      </c>
      <c r="B35" s="189"/>
    </row>
    <row r="37" spans="1:8" ht="15" thickBot="1" x14ac:dyDescent="0.4">
      <c r="A37" s="9" t="s">
        <v>258</v>
      </c>
      <c r="B37" s="189"/>
    </row>
    <row r="38" spans="1:8" ht="15" thickBot="1" x14ac:dyDescent="0.4">
      <c r="A38" s="143" t="s">
        <v>259</v>
      </c>
      <c r="B38" s="190" t="s">
        <v>294</v>
      </c>
      <c r="G38" s="64"/>
      <c r="H38" s="151"/>
    </row>
    <row r="39" spans="1:8" ht="15" thickBot="1" x14ac:dyDescent="0.4">
      <c r="A39" s="2" t="s">
        <v>295</v>
      </c>
      <c r="B39" s="15">
        <f>VLOOKUP("c24050_015",'ACS 2017'!$A$1:$F$388,2,FALSE)</f>
        <v>465121</v>
      </c>
      <c r="G39" s="64"/>
      <c r="H39" s="151"/>
    </row>
    <row r="40" spans="1:8" ht="15" thickBot="1" x14ac:dyDescent="0.4">
      <c r="A40" s="2" t="s">
        <v>260</v>
      </c>
      <c r="B40" s="15">
        <f>VLOOKUP("c24050_029",'ACS 2017'!$A$1:$F$388,2,FALSE)</f>
        <v>191969</v>
      </c>
      <c r="G40" s="64"/>
      <c r="H40" s="151"/>
    </row>
    <row r="41" spans="1:8" ht="15" thickBot="1" x14ac:dyDescent="0.4">
      <c r="A41" s="2" t="s">
        <v>261</v>
      </c>
      <c r="B41" s="15">
        <f>VLOOKUP("c24050_043",'ACS 2017'!$A$1:$F$388,2,FALSE)</f>
        <v>302636</v>
      </c>
      <c r="G41" s="64"/>
      <c r="H41" s="151"/>
    </row>
    <row r="42" spans="1:8" ht="29.5" thickBot="1" x14ac:dyDescent="0.4">
      <c r="A42" s="2" t="s">
        <v>296</v>
      </c>
      <c r="B42" s="15">
        <f>VLOOKUP("c24050_057",'ACS 2017'!$A$1:$F$388,2,FALSE)</f>
        <v>81674</v>
      </c>
      <c r="G42" s="64"/>
      <c r="H42" s="151"/>
    </row>
    <row r="43" spans="1:8" ht="29.5" thickBot="1" x14ac:dyDescent="0.4">
      <c r="A43" s="14" t="s">
        <v>262</v>
      </c>
      <c r="B43" s="15">
        <f>VLOOKUP("c24050_071",'ACS 2017'!$A$1:$F$388,2,FALSE)</f>
        <v>166592</v>
      </c>
      <c r="G43" s="64"/>
      <c r="H43" s="151"/>
    </row>
    <row r="44" spans="1:8" x14ac:dyDescent="0.35">
      <c r="A44" s="12" t="s">
        <v>4169</v>
      </c>
      <c r="B44" s="64"/>
      <c r="G44" s="64"/>
      <c r="H44" s="151"/>
    </row>
    <row r="45" spans="1:8" x14ac:dyDescent="0.35">
      <c r="B45" s="189"/>
      <c r="F45" s="151"/>
      <c r="G45" s="64"/>
      <c r="H45" s="151"/>
    </row>
    <row r="46" spans="1:8" ht="15" thickBot="1" x14ac:dyDescent="0.4">
      <c r="A46" s="9" t="s">
        <v>263</v>
      </c>
      <c r="B46" s="189"/>
      <c r="F46" s="151"/>
      <c r="G46" s="64"/>
      <c r="H46" s="151"/>
    </row>
    <row r="47" spans="1:8" ht="15" thickBot="1" x14ac:dyDescent="0.4">
      <c r="A47" s="147" t="s">
        <v>264</v>
      </c>
      <c r="B47" s="190" t="s">
        <v>101</v>
      </c>
      <c r="C47" s="140" t="s">
        <v>265</v>
      </c>
      <c r="F47" s="151"/>
      <c r="G47" s="64"/>
      <c r="H47" s="151"/>
    </row>
    <row r="48" spans="1:8" ht="15" thickBot="1" x14ac:dyDescent="0.4">
      <c r="A48" s="2" t="s">
        <v>266</v>
      </c>
      <c r="B48" s="15">
        <f>VLOOKUP("b08303_002",'ACS 2017'!$A$1:$F$388,2,FALSE)+VLOOKUP("b08303_003",'ACS 2017'!$A$1:$F$388,2,FALSE)+VLOOKUP("b08303_004",'ACS 2017'!$A$1:$F$388,2,FALSE)+VLOOKUP("b08303_005",'ACS 2017'!$A$1:$F$388,2,FALSE)+VLOOKUP("b08303_006",'ACS 2017'!$A$1:$F$388,2,FALSE)+VLOOKUP("b08303_007",'ACS 2017'!$A$1:$F$388,2,FALSE)</f>
        <v>559096</v>
      </c>
      <c r="C48" s="4">
        <f>B48/$B$51</f>
        <v>0.49397000641432287</v>
      </c>
      <c r="F48" s="151"/>
      <c r="G48" s="64"/>
      <c r="H48" s="151"/>
    </row>
    <row r="49" spans="1:8" ht="15" thickBot="1" x14ac:dyDescent="0.4">
      <c r="A49" s="2" t="s">
        <v>267</v>
      </c>
      <c r="B49" s="3">
        <f>VLOOKUP("b08303_008",'ACS 2017'!$A$1:$F$388,2,FALSE)+VLOOKUP("b08303_009",'ACS 2017'!$A$1:$F$388,2,FALSE)+VLOOKUP("b08303_010",'ACS 2017'!$A$1:$F$388,2,FALSE)+VLOOKUP("b08303_011",'ACS 2017'!$A$1:$F$388,2,FALSE)</f>
        <v>423992</v>
      </c>
      <c r="C49" s="4">
        <f t="shared" ref="C49:C50" si="3">B49/$B$51</f>
        <v>0.37460352239976957</v>
      </c>
      <c r="F49" s="151"/>
      <c r="G49" s="64"/>
      <c r="H49" s="151"/>
    </row>
    <row r="50" spans="1:8" ht="15" thickBot="1" x14ac:dyDescent="0.4">
      <c r="A50" s="2" t="s">
        <v>268</v>
      </c>
      <c r="B50" s="3">
        <f>VLOOKUP("b08303_012",'ACS 2017'!$A$1:$F$388,2,FALSE)+VLOOKUP("b08303_013",'ACS 2017'!$A$1:$F$388,2,FALSE)</f>
        <v>148754</v>
      </c>
      <c r="C50" s="4">
        <f t="shared" si="3"/>
        <v>0.13142647118590758</v>
      </c>
      <c r="F50" s="151"/>
      <c r="G50" s="64"/>
    </row>
    <row r="51" spans="1:8" ht="15" thickBot="1" x14ac:dyDescent="0.4">
      <c r="A51" s="31" t="s">
        <v>26</v>
      </c>
      <c r="B51" s="29">
        <f>SUM(B48:B50)</f>
        <v>1131842</v>
      </c>
      <c r="C51" s="4"/>
      <c r="F51" s="151"/>
    </row>
    <row r="52" spans="1:8" x14ac:dyDescent="0.35">
      <c r="A52" s="12" t="s">
        <v>4169</v>
      </c>
      <c r="F52" s="151"/>
    </row>
    <row r="53" spans="1:8" x14ac:dyDescent="0.35">
      <c r="F53" s="151"/>
    </row>
    <row r="54" spans="1:8" ht="15" thickBot="1" x14ac:dyDescent="0.4">
      <c r="A54" s="9" t="s">
        <v>297</v>
      </c>
      <c r="F54" s="151"/>
    </row>
    <row r="55" spans="1:8" ht="15" thickBot="1" x14ac:dyDescent="0.4">
      <c r="A55" s="284" t="s">
        <v>269</v>
      </c>
      <c r="B55" s="282" t="s">
        <v>270</v>
      </c>
      <c r="C55" s="283"/>
      <c r="D55" s="150"/>
      <c r="F55" s="151"/>
    </row>
    <row r="56" spans="1:8" ht="44" thickBot="1" x14ac:dyDescent="0.4">
      <c r="A56" s="290"/>
      <c r="B56" s="30" t="s">
        <v>271</v>
      </c>
      <c r="C56" s="30" t="s">
        <v>272</v>
      </c>
      <c r="D56" s="30" t="s">
        <v>273</v>
      </c>
      <c r="F56" s="151"/>
    </row>
    <row r="57" spans="1:8" ht="15" thickBot="1" x14ac:dyDescent="0.4">
      <c r="A57" s="2" t="s">
        <v>274</v>
      </c>
      <c r="B57" s="3">
        <f>VLOOKUP("b23006_006",'ACS 2017'!$A$1:$F$388,2,FALSE)</f>
        <v>79589</v>
      </c>
      <c r="C57" s="3">
        <f>VLOOKUP("b23006_007",'ACS 2017'!$A$1:$F$388,2,FALSE)</f>
        <v>7634</v>
      </c>
      <c r="D57" s="3">
        <f>VLOOKUP("b23006_008",'ACS 2017'!$A$1:$F$388,2,FALSE)</f>
        <v>44067</v>
      </c>
    </row>
    <row r="58" spans="1:8" ht="15" thickBot="1" x14ac:dyDescent="0.4">
      <c r="A58" s="2" t="s">
        <v>275</v>
      </c>
      <c r="B58" s="3">
        <f>VLOOKUP("b23006_013",'ACS 2017'!$A$1:$F$388,2,FALSE)</f>
        <v>205962</v>
      </c>
      <c r="C58" s="3">
        <f>VLOOKUP("b23006_014",'ACS 2017'!$A$1:$F$388,2,FALSE)</f>
        <v>19119</v>
      </c>
      <c r="D58" s="3">
        <f>VLOOKUP("b23006_015",'ACS 2017'!$A$1:$F$388,2,FALSE)</f>
        <v>75936</v>
      </c>
    </row>
    <row r="59" spans="1:8" ht="15" thickBot="1" x14ac:dyDescent="0.4">
      <c r="A59" s="2" t="s">
        <v>276</v>
      </c>
      <c r="B59" s="3">
        <f>VLOOKUP("b23006_020",'ACS 2017'!$A$1:$F$388,2,FALSE)</f>
        <v>290516</v>
      </c>
      <c r="C59" s="3">
        <f>VLOOKUP("b23006_021",'ACS 2017'!$A$1:$F$388,2,FALSE)</f>
        <v>22940</v>
      </c>
      <c r="D59" s="3">
        <f>VLOOKUP("b23006_022",'ACS 2017'!$A$1:$F$388,2,FALSE)</f>
        <v>68205</v>
      </c>
    </row>
    <row r="60" spans="1:8" ht="15" thickBot="1" x14ac:dyDescent="0.4">
      <c r="A60" s="14" t="s">
        <v>277</v>
      </c>
      <c r="B60" s="3">
        <f>VLOOKUP("b23006_027",'ACS 2017'!$A$1:$F$388,2,FALSE)</f>
        <v>431097</v>
      </c>
      <c r="C60" s="3">
        <f>VLOOKUP("b23006_028",'ACS 2017'!$A$1:$F$388,2,FALSE)</f>
        <v>16695</v>
      </c>
      <c r="D60" s="3">
        <f>VLOOKUP("b23006_029",'ACS 2017'!$A$1:$F$388,2,FALSE)</f>
        <v>71484</v>
      </c>
    </row>
    <row r="61" spans="1:8" x14ac:dyDescent="0.35">
      <c r="A61" s="12" t="s">
        <v>4169</v>
      </c>
    </row>
    <row r="63" spans="1:8" ht="15" thickBot="1" x14ac:dyDescent="0.4">
      <c r="A63" s="9" t="s">
        <v>278</v>
      </c>
    </row>
    <row r="64" spans="1:8" ht="15" thickBot="1" x14ac:dyDescent="0.4">
      <c r="A64" s="306"/>
      <c r="B64" s="282" t="s">
        <v>279</v>
      </c>
      <c r="C64" s="308"/>
      <c r="D64" s="308"/>
      <c r="E64" s="308"/>
      <c r="F64" s="283"/>
    </row>
    <row r="65" spans="1:12" ht="15" thickBot="1" x14ac:dyDescent="0.4">
      <c r="A65" s="307"/>
      <c r="B65" s="30" t="s">
        <v>280</v>
      </c>
      <c r="C65" s="30" t="s">
        <v>281</v>
      </c>
      <c r="D65" s="30" t="s">
        <v>282</v>
      </c>
      <c r="E65" s="30" t="s">
        <v>283</v>
      </c>
      <c r="F65" s="30" t="s">
        <v>284</v>
      </c>
      <c r="G65" s="64"/>
    </row>
    <row r="66" spans="1:12" ht="15" thickBot="1" x14ac:dyDescent="0.4">
      <c r="A66" s="2" t="s">
        <v>285</v>
      </c>
      <c r="B66" s="3">
        <f>VLOOKUP("b15001_004",'ACS 2017'!$A$1:$F$388,2,FALSE)
+VLOOKUP("b15001_045",'ACS 2017'!$A$1:$F$388,2,FALSE)</f>
        <v>2654</v>
      </c>
      <c r="C66" s="3">
        <f>VLOOKUP("b15001_012",'ACS 2017'!$A$1:$F$388,2,FALSE)
+VLOOKUP("b15001_053",'ACS 2017'!$A$1:$F$388,2,FALSE)</f>
        <v>10417</v>
      </c>
      <c r="D66" s="3">
        <f>VLOOKUP("b15001_020",'ACS 2017'!$A$1:$F$388,2,FALSE)
+VLOOKUP("b15001_061",'ACS 2017'!$A$1:$F$388,2,FALSE)</f>
        <v>17947</v>
      </c>
      <c r="E66" s="3">
        <f>VLOOKUP("b15001_028",'ACS 2017'!$A$1:$F$388,2,FALSE)
+VLOOKUP("b15001_069",'ACS 2017'!$A$1:$F$388,2,FALSE)</f>
        <v>36891</v>
      </c>
      <c r="F66" s="3">
        <f>VLOOKUP("b15001_036",'ACS 2017'!$A$1:$F$388,2,FALSE)
+VLOOKUP("b15001_077",'ACS 2017'!$A$1:$F$388,2,FALSE)</f>
        <v>33337</v>
      </c>
      <c r="L66" s="64"/>
    </row>
    <row r="67" spans="1:12" ht="15" thickBot="1" x14ac:dyDescent="0.4">
      <c r="A67" s="2" t="s">
        <v>286</v>
      </c>
      <c r="B67" s="3">
        <f>VLOOKUP("b15001_005",'ACS 2017'!$A$1:$F$388,2,FALSE) +VLOOKUP("b15001_046",'ACS 2017'!$A$1:$F$388,2,FALSE)</f>
        <v>22725</v>
      </c>
      <c r="C67" s="3">
        <f>VLOOKUP("b15001_013",'ACS 2017'!$A$1:$F$388,2,FALSE) +VLOOKUP("b15001_054",'ACS 2017'!$A$1:$F$388,2,FALSE)</f>
        <v>14168</v>
      </c>
      <c r="D67" s="3">
        <f>VLOOKUP("b15001_021",'ACS 2017'!$A$1:$F$388,2,FALSE) +VLOOKUP("b15001_062",'ACS 2017'!$A$1:$F$388,2,FALSE)</f>
        <v>17781</v>
      </c>
      <c r="E67" s="3">
        <f>VLOOKUP("b15001_029",'ACS 2017'!$A$1:$F$388,2,FALSE) +VLOOKUP("b15001_070",'ACS 2017'!$A$1:$F$388,2,FALSE)</f>
        <v>34112</v>
      </c>
      <c r="F67" s="3">
        <f>VLOOKUP("b15001_037",'ACS 2017'!$A$1:$F$388,2,FALSE) +VLOOKUP("b15001_078",'ACS 2017'!$A$1:$F$388,2,FALSE)</f>
        <v>29362</v>
      </c>
      <c r="G67" s="64"/>
    </row>
    <row r="68" spans="1:12" ht="15" thickBot="1" x14ac:dyDescent="0.4">
      <c r="A68" s="2" t="s">
        <v>287</v>
      </c>
      <c r="B68" s="3">
        <f>VLOOKUP("b15001_006",'ACS 2017'!$A$1:$F$388,2,FALSE) +VLOOKUP("b15001_047",'ACS 2017'!$A$1:$F$388,2,FALSE)</f>
        <v>57755</v>
      </c>
      <c r="C68" s="3">
        <f>VLOOKUP("b15001_014",'ACS 2017'!$A$1:$F$388,2,FALSE) +VLOOKUP("b15001_055",'ACS 2017'!$A$1:$F$388,2,FALSE)</f>
        <v>68394</v>
      </c>
      <c r="D68" s="3">
        <f>VLOOKUP("b15001_022",'ACS 2017'!$A$1:$F$388,2,FALSE) +VLOOKUP("b15001_063",'ACS 2017'!$A$1:$F$388,2,FALSE)</f>
        <v>70341</v>
      </c>
      <c r="E68" s="3">
        <f>VLOOKUP("b15001_030",'ACS 2017'!$A$1:$F$388,2,FALSE) +VLOOKUP("b15001_071",'ACS 2017'!$A$1:$F$388,2,FALSE)</f>
        <v>162410</v>
      </c>
      <c r="F68" s="3">
        <f>VLOOKUP("b15001_038",'ACS 2017'!$A$1:$F$388,2,FALSE) +VLOOKUP("b15001_079",'ACS 2017'!$A$1:$F$388,2,FALSE)</f>
        <v>115543</v>
      </c>
    </row>
    <row r="69" spans="1:12" ht="15" thickBot="1" x14ac:dyDescent="0.4">
      <c r="A69" s="2" t="s">
        <v>288</v>
      </c>
      <c r="B69" s="3">
        <f>VLOOKUP("b15001_007",'ACS 2017'!$A$1:$F$388,2,FALSE) +VLOOKUP("b15001_048",'ACS 2017'!$A$1:$F$388,2,FALSE)</f>
        <v>81555</v>
      </c>
      <c r="C69" s="3">
        <f>VLOOKUP("b15001_015",'ACS 2017'!$A$1:$F$388,2,FALSE) +VLOOKUP("b15001_056",'ACS 2017'!$A$1:$F$388,2,FALSE)</f>
        <v>68627</v>
      </c>
      <c r="D69" s="3">
        <f>VLOOKUP("b15001_023",'ACS 2017'!$A$1:$F$388,2,FALSE) +VLOOKUP("b15001_064",'ACS 2017'!$A$1:$F$388,2,FALSE)</f>
        <v>62009</v>
      </c>
      <c r="E69" s="3">
        <f>VLOOKUP("b15001_031",'ACS 2017'!$A$1:$F$388,2,FALSE) +VLOOKUP("b15001_072",'ACS 2017'!$A$1:$F$388,2,FALSE)</f>
        <v>142747</v>
      </c>
      <c r="F69" s="3">
        <f>VLOOKUP("b15001_039",'ACS 2017'!$A$1:$F$388,2,FALSE) +VLOOKUP("b15001_080",'ACS 2017'!$A$1:$F$388,2,FALSE)</f>
        <v>76622</v>
      </c>
    </row>
    <row r="70" spans="1:12" ht="15" thickBot="1" x14ac:dyDescent="0.4">
      <c r="A70" s="2" t="s">
        <v>289</v>
      </c>
      <c r="B70" s="3">
        <f>VLOOKUP("b15001_008",'ACS 2017'!$A$1:$F$388,2,FALSE) +VLOOKUP("b15001_049",'ACS 2017'!$A$1:$F$388,2,FALSE)</f>
        <v>11050</v>
      </c>
      <c r="C70" s="3">
        <f>VLOOKUP("b15001_016",'ACS 2017'!$A$1:$F$388,2,FALSE) +VLOOKUP("b15001_057",'ACS 2017'!$A$1:$F$388,2,FALSE)</f>
        <v>27250</v>
      </c>
      <c r="D70" s="3">
        <f>VLOOKUP("b15001_024",'ACS 2017'!$A$1:$F$388,2,FALSE) +VLOOKUP("b15001_065",'ACS 2017'!$A$1:$F$388,2,FALSE)</f>
        <v>25582</v>
      </c>
      <c r="E70" s="3">
        <f>VLOOKUP("b15001_032",'ACS 2017'!$A$1:$F$388,2,FALSE) +VLOOKUP("b15001_073",'ACS 2017'!$A$1:$F$388,2,FALSE)</f>
        <v>55789</v>
      </c>
      <c r="F70" s="3">
        <f>VLOOKUP("b15001_040",'ACS 2017'!$A$1:$F$388,2,FALSE) +VLOOKUP("b15001_081",'ACS 2017'!$A$1:$F$388,2,FALSE)</f>
        <v>19157</v>
      </c>
    </row>
    <row r="71" spans="1:12" ht="15" thickBot="1" x14ac:dyDescent="0.4">
      <c r="A71" s="2" t="s">
        <v>290</v>
      </c>
      <c r="B71" s="3">
        <f>VLOOKUP("b15001_009",'ACS 2017'!$A$1:$F$388,2,FALSE) +VLOOKUP("b15001_050",'ACS 2017'!$A$1:$F$388,2,FALSE)</f>
        <v>26176</v>
      </c>
      <c r="C71" s="3">
        <f>VLOOKUP("b15001_017",'ACS 2017'!$A$1:$F$388,2,FALSE) +VLOOKUP("b15001_058",'ACS 2017'!$A$1:$F$388,2,FALSE)</f>
        <v>88932</v>
      </c>
      <c r="D71" s="3">
        <f>VLOOKUP("b15001_025",'ACS 2017'!$A$1:$F$388,2,FALSE) +VLOOKUP("b15001_066",'ACS 2017'!$A$1:$F$388,2,FALSE)</f>
        <v>77105</v>
      </c>
      <c r="E71" s="3">
        <f>VLOOKUP("b15001_033",'ACS 2017'!$A$1:$F$388,2,FALSE) +VLOOKUP("b15001_074",'ACS 2017'!$A$1:$F$388,2,FALSE)</f>
        <v>151748</v>
      </c>
      <c r="F71" s="3">
        <f>VLOOKUP("b15001_041",'ACS 2017'!$A$1:$F$388,2,FALSE) +VLOOKUP("b15001_082",'ACS 2017'!$A$1:$F$388,2,FALSE)</f>
        <v>64825</v>
      </c>
    </row>
    <row r="72" spans="1:12" ht="15" thickBot="1" x14ac:dyDescent="0.4">
      <c r="A72" s="14" t="s">
        <v>291</v>
      </c>
      <c r="B72" s="3">
        <f>VLOOKUP("b15001_010",'ACS 2017'!$A$1:$F$388,2,FALSE) +VLOOKUP("b15001_051",'ACS 2017'!$A$1:$F$388,2,FALSE)</f>
        <v>1920</v>
      </c>
      <c r="C72" s="3">
        <f>VLOOKUP("b15001_018",'ACS 2017'!$A$1:$F$388,2,FALSE) +VLOOKUP("b15001_059",'ACS 2017'!$A$1:$F$388,2,FALSE)</f>
        <v>41616</v>
      </c>
      <c r="D72" s="3">
        <f>VLOOKUP("b15001_026",'ACS 2017'!$A$1:$F$388,2,FALSE) +VLOOKUP("b15001_067",'ACS 2017'!$A$1:$F$388,2,FALSE)</f>
        <v>55272</v>
      </c>
      <c r="E72" s="3">
        <f>VLOOKUP("b15001_034",'ACS 2017'!$A$1:$F$388,2,FALSE) +VLOOKUP("b15001_075",'ACS 2017'!$A$1:$F$388,2,FALSE)</f>
        <v>104679</v>
      </c>
      <c r="F72" s="3">
        <f>VLOOKUP("b15001_042",'ACS 2017'!$A$1:$F$388,2,FALSE) +VLOOKUP("b15001_083",'ACS 2017'!$A$1:$F$388,2,FALSE)</f>
        <v>52198</v>
      </c>
    </row>
    <row r="73" spans="1:12" x14ac:dyDescent="0.35">
      <c r="A73" s="12" t="s">
        <v>4169</v>
      </c>
    </row>
    <row r="75" spans="1:12" ht="15" thickBot="1" x14ac:dyDescent="0.4">
      <c r="A75" s="9" t="s">
        <v>298</v>
      </c>
    </row>
    <row r="76" spans="1:12" ht="29.5" thickBot="1" x14ac:dyDescent="0.4">
      <c r="A76" s="21" t="s">
        <v>269</v>
      </c>
      <c r="B76" s="140" t="s">
        <v>292</v>
      </c>
    </row>
    <row r="77" spans="1:12" ht="15" thickBot="1" x14ac:dyDescent="0.4">
      <c r="A77" s="2" t="s">
        <v>274</v>
      </c>
      <c r="B77" s="3">
        <f>VLOOKUP("b20004_002",'ACS 2017'!$A$1:$F$388,2,FALSE)</f>
        <v>24589.604496024855</v>
      </c>
    </row>
    <row r="78" spans="1:12" ht="15" thickBot="1" x14ac:dyDescent="0.4">
      <c r="A78" s="2" t="s">
        <v>275</v>
      </c>
      <c r="B78" s="3">
        <f>VLOOKUP("b20004_003",'ACS 2017'!$A$1:$F$388,2,FALSE)</f>
        <v>32664.020000332064</v>
      </c>
    </row>
    <row r="79" spans="1:12" ht="15" thickBot="1" x14ac:dyDescent="0.4">
      <c r="A79" s="2" t="s">
        <v>276</v>
      </c>
      <c r="B79" s="3">
        <f>VLOOKUP("b20004_004",'ACS 2017'!$A$1:$F$388,2,FALSE)</f>
        <v>38393.441471817052</v>
      </c>
    </row>
    <row r="80" spans="1:12" ht="15" thickBot="1" x14ac:dyDescent="0.4">
      <c r="A80" s="2" t="s">
        <v>290</v>
      </c>
      <c r="B80" s="3">
        <f>VLOOKUP("b20004_005",'ACS 2017'!$A$1:$F$388,2,FALSE)</f>
        <v>54204.250704724349</v>
      </c>
    </row>
    <row r="81" spans="1:2" ht="15" thickBot="1" x14ac:dyDescent="0.4">
      <c r="A81" s="14" t="s">
        <v>291</v>
      </c>
      <c r="B81" s="3">
        <f>VLOOKUP("b20004_006",'ACS 2017'!$A$1:$F$388,2,FALSE)</f>
        <v>74416.027187726242</v>
      </c>
    </row>
    <row r="82" spans="1:2" x14ac:dyDescent="0.35">
      <c r="A82" s="12" t="s">
        <v>4169</v>
      </c>
    </row>
    <row r="247" spans="2:2" x14ac:dyDescent="0.35">
      <c r="B247" t="str">
        <f t="shared" ref="B247:B260" si="4">"+VLOOKUP("""&amp;A247&amp;""",'ACS 2017'!$A$1:$F$260,2,FALSE) "</f>
        <v xml:space="preserve">+VLOOKUP("",'ACS 2017'!$A$1:$F$260,2,FALSE) </v>
      </c>
    </row>
    <row r="248" spans="2:2" x14ac:dyDescent="0.35">
      <c r="B248" t="str">
        <f t="shared" si="4"/>
        <v xml:space="preserve">+VLOOKUP("",'ACS 2017'!$A$1:$F$260,2,FALSE) </v>
      </c>
    </row>
    <row r="249" spans="2:2" x14ac:dyDescent="0.35">
      <c r="B249" t="str">
        <f t="shared" si="4"/>
        <v xml:space="preserve">+VLOOKUP("",'ACS 2017'!$A$1:$F$260,2,FALSE) </v>
      </c>
    </row>
    <row r="250" spans="2:2" x14ac:dyDescent="0.35">
      <c r="B250" t="str">
        <f t="shared" si="4"/>
        <v xml:space="preserve">+VLOOKUP("",'ACS 2017'!$A$1:$F$260,2,FALSE) </v>
      </c>
    </row>
    <row r="251" spans="2:2" x14ac:dyDescent="0.35">
      <c r="B251" t="str">
        <f t="shared" si="4"/>
        <v xml:space="preserve">+VLOOKUP("",'ACS 2017'!$A$1:$F$260,2,FALSE) </v>
      </c>
    </row>
    <row r="252" spans="2:2" x14ac:dyDescent="0.35">
      <c r="B252" t="str">
        <f t="shared" si="4"/>
        <v xml:space="preserve">+VLOOKUP("",'ACS 2017'!$A$1:$F$260,2,FALSE) </v>
      </c>
    </row>
    <row r="253" spans="2:2" x14ac:dyDescent="0.35">
      <c r="B253" t="str">
        <f t="shared" si="4"/>
        <v xml:space="preserve">+VLOOKUP("",'ACS 2017'!$A$1:$F$260,2,FALSE) </v>
      </c>
    </row>
    <row r="254" spans="2:2" x14ac:dyDescent="0.35">
      <c r="B254" t="str">
        <f t="shared" si="4"/>
        <v xml:space="preserve">+VLOOKUP("",'ACS 2017'!$A$1:$F$260,2,FALSE) </v>
      </c>
    </row>
    <row r="255" spans="2:2" x14ac:dyDescent="0.35">
      <c r="B255" t="str">
        <f t="shared" si="4"/>
        <v xml:space="preserve">+VLOOKUP("",'ACS 2017'!$A$1:$F$260,2,FALSE) </v>
      </c>
    </row>
    <row r="256" spans="2:2" x14ac:dyDescent="0.35">
      <c r="B256" t="str">
        <f t="shared" si="4"/>
        <v xml:space="preserve">+VLOOKUP("",'ACS 2017'!$A$1:$F$260,2,FALSE) </v>
      </c>
    </row>
    <row r="257" spans="2:2" x14ac:dyDescent="0.35">
      <c r="B257" t="str">
        <f t="shared" si="4"/>
        <v xml:space="preserve">+VLOOKUP("",'ACS 2017'!$A$1:$F$260,2,FALSE) </v>
      </c>
    </row>
    <row r="258" spans="2:2" x14ac:dyDescent="0.35">
      <c r="B258" t="str">
        <f t="shared" si="4"/>
        <v xml:space="preserve">+VLOOKUP("",'ACS 2017'!$A$1:$F$260,2,FALSE) </v>
      </c>
    </row>
    <row r="259" spans="2:2" x14ac:dyDescent="0.35">
      <c r="B259" t="str">
        <f t="shared" si="4"/>
        <v xml:space="preserve">+VLOOKUP("",'ACS 2017'!$A$1:$F$260,2,FALSE) </v>
      </c>
    </row>
    <row r="260" spans="2:2" x14ac:dyDescent="0.35">
      <c r="B260" t="str">
        <f t="shared" si="4"/>
        <v xml:space="preserve">+VLOOKUP("",'ACS 2017'!$A$1:$F$260,2,FALSE) </v>
      </c>
    </row>
  </sheetData>
  <mergeCells count="7">
    <mergeCell ref="A64:A65"/>
    <mergeCell ref="B64:F64"/>
    <mergeCell ref="A4:A5"/>
    <mergeCell ref="B4:B5"/>
    <mergeCell ref="C4:C5"/>
    <mergeCell ref="A55:A56"/>
    <mergeCell ref="B55:C5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823"/>
  <sheetViews>
    <sheetView workbookViewId="0">
      <selection activeCell="D2" sqref="D2"/>
    </sheetView>
  </sheetViews>
  <sheetFormatPr defaultRowHeight="14.5" x14ac:dyDescent="0.35"/>
  <cols>
    <col min="1" max="1" width="2.7265625" customWidth="1"/>
    <col min="2" max="2" width="3.81640625" customWidth="1"/>
    <col min="3" max="3" width="13.7265625" bestFit="1" customWidth="1"/>
    <col min="5" max="5" width="12.54296875" bestFit="1" customWidth="1"/>
    <col min="6" max="10" width="31" style="71" customWidth="1"/>
  </cols>
  <sheetData>
    <row r="1" spans="1:10" x14ac:dyDescent="0.35">
      <c r="A1" t="s">
        <v>351</v>
      </c>
      <c r="B1" t="s">
        <v>352</v>
      </c>
      <c r="C1" t="s">
        <v>354</v>
      </c>
      <c r="D1" t="s">
        <v>4193</v>
      </c>
      <c r="E1" t="s">
        <v>355</v>
      </c>
      <c r="F1" s="71" t="s">
        <v>356</v>
      </c>
      <c r="G1" s="71" t="s">
        <v>357</v>
      </c>
      <c r="H1" s="71" t="s">
        <v>358</v>
      </c>
      <c r="I1" s="71" t="s">
        <v>356</v>
      </c>
      <c r="J1" s="71" t="s">
        <v>359</v>
      </c>
    </row>
    <row r="2" spans="1:10" ht="29" x14ac:dyDescent="0.35">
      <c r="A2">
        <v>1</v>
      </c>
      <c r="B2">
        <v>1</v>
      </c>
      <c r="C2" t="s">
        <v>360</v>
      </c>
      <c r="D2" s="64">
        <f>VLOOKUP(C2,'CHAS - Cook Co'!$C$1:$J$2762,2,FALSE) - VLOOKUP(C2,'CHAS - Chicago'!$C$1:$J$2762,2,FALSE)</f>
        <v>909025</v>
      </c>
      <c r="E2" t="s">
        <v>26</v>
      </c>
      <c r="F2" s="71" t="s">
        <v>361</v>
      </c>
      <c r="G2" s="71" t="s">
        <v>362</v>
      </c>
      <c r="H2" s="71" t="s">
        <v>363</v>
      </c>
      <c r="I2" s="71" t="s">
        <v>364</v>
      </c>
    </row>
    <row r="3" spans="1:10" x14ac:dyDescent="0.35">
      <c r="A3">
        <v>1</v>
      </c>
      <c r="B3">
        <v>2</v>
      </c>
      <c r="C3" t="s">
        <v>365</v>
      </c>
      <c r="D3" s="64">
        <f>VLOOKUP(C3,'CHAS - Cook Co'!$C$1:$J$2762,2,FALSE) - VLOOKUP(C3,'CHAS - Chicago'!$C$1:$J$2762,2,FALSE)</f>
        <v>645280</v>
      </c>
      <c r="E3" t="s">
        <v>366</v>
      </c>
      <c r="F3" s="71" t="s">
        <v>367</v>
      </c>
      <c r="G3" s="71" t="s">
        <v>362</v>
      </c>
      <c r="H3" s="71" t="s">
        <v>363</v>
      </c>
      <c r="I3" s="71" t="s">
        <v>364</v>
      </c>
    </row>
    <row r="4" spans="1:10" ht="87" x14ac:dyDescent="0.35">
      <c r="A4">
        <v>1</v>
      </c>
      <c r="B4">
        <v>3</v>
      </c>
      <c r="C4" t="s">
        <v>368</v>
      </c>
      <c r="D4" s="64">
        <f>VLOOKUP(C4,'CHAS - Cook Co'!$C$1:$J$2762,2,FALSE) - VLOOKUP(C4,'CHAS - Chicago'!$C$1:$J$2762,2,FALSE)</f>
        <v>203985</v>
      </c>
      <c r="E4" t="s">
        <v>366</v>
      </c>
      <c r="F4" s="71" t="s">
        <v>367</v>
      </c>
      <c r="G4" s="71" t="s">
        <v>369</v>
      </c>
      <c r="H4" s="71" t="s">
        <v>363</v>
      </c>
      <c r="I4" s="71" t="s">
        <v>364</v>
      </c>
    </row>
    <row r="5" spans="1:10" ht="87" x14ac:dyDescent="0.35">
      <c r="A5">
        <v>1</v>
      </c>
      <c r="B5">
        <v>4</v>
      </c>
      <c r="C5" t="s">
        <v>370</v>
      </c>
      <c r="D5" s="64">
        <f>VLOOKUP(C5,'CHAS - Cook Co'!$C$1:$J$2762,2,FALSE) - VLOOKUP(C5,'CHAS - Chicago'!$C$1:$J$2762,2,FALSE)</f>
        <v>45640</v>
      </c>
      <c r="E5" t="s">
        <v>366</v>
      </c>
      <c r="F5" s="71" t="s">
        <v>367</v>
      </c>
      <c r="G5" s="71" t="s">
        <v>369</v>
      </c>
      <c r="H5" s="71" t="s">
        <v>371</v>
      </c>
      <c r="I5" s="71" t="s">
        <v>364</v>
      </c>
    </row>
    <row r="6" spans="1:10" ht="87" x14ac:dyDescent="0.35">
      <c r="A6">
        <v>1</v>
      </c>
      <c r="B6">
        <v>5</v>
      </c>
      <c r="C6" t="s">
        <v>372</v>
      </c>
      <c r="D6" s="64">
        <f>VLOOKUP(C6,'CHAS - Cook Co'!$C$1:$J$2762,2,FALSE) - VLOOKUP(C6,'CHAS - Chicago'!$C$1:$J$2762,2,FALSE)</f>
        <v>30330</v>
      </c>
      <c r="E6" t="s">
        <v>373</v>
      </c>
      <c r="F6" s="71" t="s">
        <v>367</v>
      </c>
      <c r="G6" s="71" t="s">
        <v>369</v>
      </c>
      <c r="H6" s="71" t="s">
        <v>371</v>
      </c>
      <c r="I6" s="71" t="s">
        <v>374</v>
      </c>
    </row>
    <row r="7" spans="1:10" ht="87" x14ac:dyDescent="0.35">
      <c r="A7">
        <v>1</v>
      </c>
      <c r="B7">
        <v>6</v>
      </c>
      <c r="C7" t="s">
        <v>375</v>
      </c>
      <c r="D7" s="64">
        <f>VLOOKUP(C7,'CHAS - Cook Co'!$C$1:$J$2762,2,FALSE) - VLOOKUP(C7,'CHAS - Chicago'!$C$1:$J$2762,2,FALSE)</f>
        <v>7470</v>
      </c>
      <c r="E7" t="s">
        <v>373</v>
      </c>
      <c r="F7" s="71" t="s">
        <v>367</v>
      </c>
      <c r="G7" s="71" t="s">
        <v>369</v>
      </c>
      <c r="H7" s="71" t="s">
        <v>371</v>
      </c>
      <c r="I7" s="71" t="s">
        <v>376</v>
      </c>
    </row>
    <row r="8" spans="1:10" ht="87" x14ac:dyDescent="0.35">
      <c r="A8">
        <v>1</v>
      </c>
      <c r="B8">
        <v>7</v>
      </c>
      <c r="C8" t="s">
        <v>377</v>
      </c>
      <c r="D8" s="64">
        <f>VLOOKUP(C8,'CHAS - Cook Co'!$C$1:$J$2762,2,FALSE) - VLOOKUP(C8,'CHAS - Chicago'!$C$1:$J$2762,2,FALSE)</f>
        <v>1815</v>
      </c>
      <c r="E8" t="s">
        <v>373</v>
      </c>
      <c r="F8" s="71" t="s">
        <v>367</v>
      </c>
      <c r="G8" s="71" t="s">
        <v>369</v>
      </c>
      <c r="H8" s="71" t="s">
        <v>371</v>
      </c>
      <c r="I8" s="71" t="s">
        <v>378</v>
      </c>
    </row>
    <row r="9" spans="1:10" ht="87" x14ac:dyDescent="0.35">
      <c r="A9">
        <v>1</v>
      </c>
      <c r="B9">
        <v>8</v>
      </c>
      <c r="C9" t="s">
        <v>379</v>
      </c>
      <c r="D9" s="64">
        <f>VLOOKUP(C9,'CHAS - Cook Co'!$C$1:$J$2762,2,FALSE) - VLOOKUP(C9,'CHAS - Chicago'!$C$1:$J$2762,2,FALSE)</f>
        <v>115</v>
      </c>
      <c r="E9" t="s">
        <v>373</v>
      </c>
      <c r="F9" s="71" t="s">
        <v>367</v>
      </c>
      <c r="G9" s="71" t="s">
        <v>369</v>
      </c>
      <c r="H9" s="71" t="s">
        <v>371</v>
      </c>
      <c r="I9" s="71" t="s">
        <v>380</v>
      </c>
    </row>
    <row r="10" spans="1:10" ht="87" x14ac:dyDescent="0.35">
      <c r="A10">
        <v>1</v>
      </c>
      <c r="B10">
        <v>9</v>
      </c>
      <c r="C10" t="s">
        <v>381</v>
      </c>
      <c r="D10" s="64">
        <f>VLOOKUP(C10,'CHAS - Cook Co'!$C$1:$J$2762,2,FALSE) - VLOOKUP(C10,'CHAS - Chicago'!$C$1:$J$2762,2,FALSE)</f>
        <v>0</v>
      </c>
      <c r="E10" t="s">
        <v>373</v>
      </c>
      <c r="F10" s="71" t="s">
        <v>367</v>
      </c>
      <c r="G10" s="71" t="s">
        <v>369</v>
      </c>
      <c r="H10" s="71" t="s">
        <v>371</v>
      </c>
      <c r="I10" s="71" t="s">
        <v>382</v>
      </c>
    </row>
    <row r="11" spans="1:10" ht="87" x14ac:dyDescent="0.35">
      <c r="A11">
        <v>1</v>
      </c>
      <c r="B11">
        <v>10</v>
      </c>
      <c r="C11" t="s">
        <v>383</v>
      </c>
      <c r="D11" s="64">
        <f>VLOOKUP(C11,'CHAS - Cook Co'!$C$1:$J$2762,2,FALSE) - VLOOKUP(C11,'CHAS - Chicago'!$C$1:$J$2762,2,FALSE)</f>
        <v>5550</v>
      </c>
      <c r="E11" t="s">
        <v>373</v>
      </c>
      <c r="F11" s="71" t="s">
        <v>367</v>
      </c>
      <c r="G11" s="71" t="s">
        <v>369</v>
      </c>
      <c r="H11" s="71" t="s">
        <v>371</v>
      </c>
      <c r="I11" s="71" t="s">
        <v>384</v>
      </c>
    </row>
    <row r="12" spans="1:10" ht="87" x14ac:dyDescent="0.35">
      <c r="A12">
        <v>1</v>
      </c>
      <c r="B12">
        <v>11</v>
      </c>
      <c r="C12" t="s">
        <v>385</v>
      </c>
      <c r="D12" s="64">
        <f>VLOOKUP(C12,'CHAS - Cook Co'!$C$1:$J$2762,2,FALSE) - VLOOKUP(C12,'CHAS - Chicago'!$C$1:$J$2762,2,FALSE)</f>
        <v>360</v>
      </c>
      <c r="E12" t="s">
        <v>373</v>
      </c>
      <c r="F12" s="71" t="s">
        <v>367</v>
      </c>
      <c r="G12" s="71" t="s">
        <v>369</v>
      </c>
      <c r="H12" s="71" t="s">
        <v>371</v>
      </c>
      <c r="I12" s="71" t="s">
        <v>386</v>
      </c>
    </row>
    <row r="13" spans="1:10" ht="87" x14ac:dyDescent="0.35">
      <c r="A13">
        <v>1</v>
      </c>
      <c r="B13">
        <v>12</v>
      </c>
      <c r="C13" t="s">
        <v>387</v>
      </c>
      <c r="D13" s="64">
        <f>VLOOKUP(C13,'CHAS - Cook Co'!$C$1:$J$2762,2,FALSE) - VLOOKUP(C13,'CHAS - Chicago'!$C$1:$J$2762,2,FALSE)</f>
        <v>46840</v>
      </c>
      <c r="E13" t="s">
        <v>366</v>
      </c>
      <c r="F13" s="71" t="s">
        <v>367</v>
      </c>
      <c r="G13" s="71" t="s">
        <v>369</v>
      </c>
      <c r="H13" s="71" t="s">
        <v>388</v>
      </c>
      <c r="I13" s="71" t="s">
        <v>364</v>
      </c>
    </row>
    <row r="14" spans="1:10" ht="87" x14ac:dyDescent="0.35">
      <c r="A14">
        <v>1</v>
      </c>
      <c r="B14">
        <v>13</v>
      </c>
      <c r="C14" t="s">
        <v>389</v>
      </c>
      <c r="D14" s="64">
        <f>VLOOKUP(C14,'CHAS - Cook Co'!$C$1:$J$2762,2,FALSE) - VLOOKUP(C14,'CHAS - Chicago'!$C$1:$J$2762,2,FALSE)</f>
        <v>29865</v>
      </c>
      <c r="E14" t="s">
        <v>373</v>
      </c>
      <c r="F14" s="71" t="s">
        <v>367</v>
      </c>
      <c r="G14" s="71" t="s">
        <v>369</v>
      </c>
      <c r="H14" s="71" t="s">
        <v>388</v>
      </c>
      <c r="I14" s="71" t="s">
        <v>374</v>
      </c>
    </row>
    <row r="15" spans="1:10" ht="87" x14ac:dyDescent="0.35">
      <c r="A15">
        <v>1</v>
      </c>
      <c r="B15">
        <v>14</v>
      </c>
      <c r="C15" t="s">
        <v>390</v>
      </c>
      <c r="D15" s="64">
        <f>VLOOKUP(C15,'CHAS - Cook Co'!$C$1:$J$2762,2,FALSE) - VLOOKUP(C15,'CHAS - Chicago'!$C$1:$J$2762,2,FALSE)</f>
        <v>6690</v>
      </c>
      <c r="E15" t="s">
        <v>373</v>
      </c>
      <c r="F15" s="71" t="s">
        <v>367</v>
      </c>
      <c r="G15" s="71" t="s">
        <v>369</v>
      </c>
      <c r="H15" s="71" t="s">
        <v>388</v>
      </c>
      <c r="I15" s="71" t="s">
        <v>376</v>
      </c>
    </row>
    <row r="16" spans="1:10" ht="87" x14ac:dyDescent="0.35">
      <c r="A16">
        <v>1</v>
      </c>
      <c r="B16">
        <v>15</v>
      </c>
      <c r="C16" t="s">
        <v>391</v>
      </c>
      <c r="D16" s="64">
        <f>VLOOKUP(C16,'CHAS - Cook Co'!$C$1:$J$2762,2,FALSE) - VLOOKUP(C16,'CHAS - Chicago'!$C$1:$J$2762,2,FALSE)</f>
        <v>2255</v>
      </c>
      <c r="E16" t="s">
        <v>373</v>
      </c>
      <c r="F16" s="71" t="s">
        <v>367</v>
      </c>
      <c r="G16" s="71" t="s">
        <v>369</v>
      </c>
      <c r="H16" s="71" t="s">
        <v>388</v>
      </c>
      <c r="I16" s="71" t="s">
        <v>378</v>
      </c>
    </row>
    <row r="17" spans="1:9" ht="87" x14ac:dyDescent="0.35">
      <c r="A17">
        <v>1</v>
      </c>
      <c r="B17">
        <v>16</v>
      </c>
      <c r="C17" t="s">
        <v>392</v>
      </c>
      <c r="D17" s="64">
        <f>VLOOKUP(C17,'CHAS - Cook Co'!$C$1:$J$2762,2,FALSE) - VLOOKUP(C17,'CHAS - Chicago'!$C$1:$J$2762,2,FALSE)</f>
        <v>35</v>
      </c>
      <c r="E17" t="s">
        <v>373</v>
      </c>
      <c r="F17" s="71" t="s">
        <v>367</v>
      </c>
      <c r="G17" s="71" t="s">
        <v>369</v>
      </c>
      <c r="H17" s="71" t="s">
        <v>388</v>
      </c>
      <c r="I17" s="71" t="s">
        <v>380</v>
      </c>
    </row>
    <row r="18" spans="1:9" ht="87" x14ac:dyDescent="0.35">
      <c r="A18">
        <v>1</v>
      </c>
      <c r="B18">
        <v>17</v>
      </c>
      <c r="C18" t="s">
        <v>393</v>
      </c>
      <c r="D18" s="64">
        <f>VLOOKUP(C18,'CHAS - Cook Co'!$C$1:$J$2762,2,FALSE) - VLOOKUP(C18,'CHAS - Chicago'!$C$1:$J$2762,2,FALSE)</f>
        <v>0</v>
      </c>
      <c r="E18" t="s">
        <v>373</v>
      </c>
      <c r="F18" s="71" t="s">
        <v>367</v>
      </c>
      <c r="G18" s="71" t="s">
        <v>369</v>
      </c>
      <c r="H18" s="71" t="s">
        <v>388</v>
      </c>
      <c r="I18" s="71" t="s">
        <v>382</v>
      </c>
    </row>
    <row r="19" spans="1:9" ht="87" x14ac:dyDescent="0.35">
      <c r="A19">
        <v>1</v>
      </c>
      <c r="B19">
        <v>18</v>
      </c>
      <c r="C19" t="s">
        <v>394</v>
      </c>
      <c r="D19" s="64">
        <f>VLOOKUP(C19,'CHAS - Cook Co'!$C$1:$J$2762,2,FALSE) - VLOOKUP(C19,'CHAS - Chicago'!$C$1:$J$2762,2,FALSE)</f>
        <v>7655</v>
      </c>
      <c r="E19" t="s">
        <v>373</v>
      </c>
      <c r="F19" s="71" t="s">
        <v>367</v>
      </c>
      <c r="G19" s="71" t="s">
        <v>369</v>
      </c>
      <c r="H19" s="71" t="s">
        <v>388</v>
      </c>
      <c r="I19" s="71" t="s">
        <v>384</v>
      </c>
    </row>
    <row r="20" spans="1:9" ht="87" x14ac:dyDescent="0.35">
      <c r="A20">
        <v>1</v>
      </c>
      <c r="B20">
        <v>19</v>
      </c>
      <c r="C20" t="s">
        <v>395</v>
      </c>
      <c r="D20" s="64">
        <f>VLOOKUP(C20,'CHAS - Cook Co'!$C$1:$J$2762,2,FALSE) - VLOOKUP(C20,'CHAS - Chicago'!$C$1:$J$2762,2,FALSE)</f>
        <v>340</v>
      </c>
      <c r="E20" t="s">
        <v>373</v>
      </c>
      <c r="F20" s="71" t="s">
        <v>367</v>
      </c>
      <c r="G20" s="71" t="s">
        <v>369</v>
      </c>
      <c r="H20" s="71" t="s">
        <v>388</v>
      </c>
      <c r="I20" s="71" t="s">
        <v>386</v>
      </c>
    </row>
    <row r="21" spans="1:9" ht="87" x14ac:dyDescent="0.35">
      <c r="A21">
        <v>1</v>
      </c>
      <c r="B21">
        <v>20</v>
      </c>
      <c r="C21" t="s">
        <v>396</v>
      </c>
      <c r="D21" s="64">
        <f>VLOOKUP(C21,'CHAS - Cook Co'!$C$1:$J$2762,2,FALSE) - VLOOKUP(C21,'CHAS - Chicago'!$C$1:$J$2762,2,FALSE)</f>
        <v>51810</v>
      </c>
      <c r="E21" t="s">
        <v>366</v>
      </c>
      <c r="F21" s="71" t="s">
        <v>367</v>
      </c>
      <c r="G21" s="71" t="s">
        <v>369</v>
      </c>
      <c r="H21" s="71" t="s">
        <v>397</v>
      </c>
      <c r="I21" s="71" t="s">
        <v>364</v>
      </c>
    </row>
    <row r="22" spans="1:9" ht="87" x14ac:dyDescent="0.35">
      <c r="A22">
        <v>1</v>
      </c>
      <c r="B22">
        <v>21</v>
      </c>
      <c r="C22" t="s">
        <v>398</v>
      </c>
      <c r="D22" s="64">
        <f>VLOOKUP(C22,'CHAS - Cook Co'!$C$1:$J$2762,2,FALSE) - VLOOKUP(C22,'CHAS - Chicago'!$C$1:$J$2762,2,FALSE)</f>
        <v>30470</v>
      </c>
      <c r="E22" t="s">
        <v>373</v>
      </c>
      <c r="F22" s="71" t="s">
        <v>367</v>
      </c>
      <c r="G22" s="71" t="s">
        <v>369</v>
      </c>
      <c r="H22" s="71" t="s">
        <v>397</v>
      </c>
      <c r="I22" s="71" t="s">
        <v>374</v>
      </c>
    </row>
    <row r="23" spans="1:9" ht="87" x14ac:dyDescent="0.35">
      <c r="A23">
        <v>1</v>
      </c>
      <c r="B23">
        <v>22</v>
      </c>
      <c r="C23" t="s">
        <v>399</v>
      </c>
      <c r="D23" s="64">
        <f>VLOOKUP(C23,'CHAS - Cook Co'!$C$1:$J$2762,2,FALSE) - VLOOKUP(C23,'CHAS - Chicago'!$C$1:$J$2762,2,FALSE)</f>
        <v>8250</v>
      </c>
      <c r="E23" t="s">
        <v>373</v>
      </c>
      <c r="F23" s="71" t="s">
        <v>367</v>
      </c>
      <c r="G23" s="71" t="s">
        <v>369</v>
      </c>
      <c r="H23" s="71" t="s">
        <v>397</v>
      </c>
      <c r="I23" s="71" t="s">
        <v>376</v>
      </c>
    </row>
    <row r="24" spans="1:9" ht="87" x14ac:dyDescent="0.35">
      <c r="A24">
        <v>1</v>
      </c>
      <c r="B24">
        <v>23</v>
      </c>
      <c r="C24" t="s">
        <v>400</v>
      </c>
      <c r="D24" s="64">
        <f>VLOOKUP(C24,'CHAS - Cook Co'!$C$1:$J$2762,2,FALSE) - VLOOKUP(C24,'CHAS - Chicago'!$C$1:$J$2762,2,FALSE)</f>
        <v>2970</v>
      </c>
      <c r="E24" t="s">
        <v>373</v>
      </c>
      <c r="F24" s="71" t="s">
        <v>367</v>
      </c>
      <c r="G24" s="71" t="s">
        <v>369</v>
      </c>
      <c r="H24" s="71" t="s">
        <v>397</v>
      </c>
      <c r="I24" s="71" t="s">
        <v>378</v>
      </c>
    </row>
    <row r="25" spans="1:9" ht="87" x14ac:dyDescent="0.35">
      <c r="A25">
        <v>1</v>
      </c>
      <c r="B25">
        <v>24</v>
      </c>
      <c r="C25" t="s">
        <v>401</v>
      </c>
      <c r="D25" s="64">
        <f>VLOOKUP(C25,'CHAS - Cook Co'!$C$1:$J$2762,2,FALSE) - VLOOKUP(C25,'CHAS - Chicago'!$C$1:$J$2762,2,FALSE)</f>
        <v>25</v>
      </c>
      <c r="E25" t="s">
        <v>373</v>
      </c>
      <c r="F25" s="71" t="s">
        <v>367</v>
      </c>
      <c r="G25" s="71" t="s">
        <v>369</v>
      </c>
      <c r="H25" s="71" t="s">
        <v>397</v>
      </c>
      <c r="I25" s="71" t="s">
        <v>380</v>
      </c>
    </row>
    <row r="26" spans="1:9" ht="87" x14ac:dyDescent="0.35">
      <c r="A26">
        <v>1</v>
      </c>
      <c r="B26">
        <v>25</v>
      </c>
      <c r="C26" t="s">
        <v>402</v>
      </c>
      <c r="D26" s="64">
        <f>VLOOKUP(C26,'CHAS - Cook Co'!$C$1:$J$2762,2,FALSE) - VLOOKUP(C26,'CHAS - Chicago'!$C$1:$J$2762,2,FALSE)</f>
        <v>20</v>
      </c>
      <c r="E26" t="s">
        <v>373</v>
      </c>
      <c r="F26" s="71" t="s">
        <v>367</v>
      </c>
      <c r="G26" s="71" t="s">
        <v>369</v>
      </c>
      <c r="H26" s="71" t="s">
        <v>397</v>
      </c>
      <c r="I26" s="71" t="s">
        <v>382</v>
      </c>
    </row>
    <row r="27" spans="1:9" ht="87" x14ac:dyDescent="0.35">
      <c r="A27">
        <v>1</v>
      </c>
      <c r="B27">
        <v>26</v>
      </c>
      <c r="C27" t="s">
        <v>403</v>
      </c>
      <c r="D27" s="64">
        <f>VLOOKUP(C27,'CHAS - Cook Co'!$C$1:$J$2762,2,FALSE) - VLOOKUP(C27,'CHAS - Chicago'!$C$1:$J$2762,2,FALSE)</f>
        <v>9650</v>
      </c>
      <c r="E27" t="s">
        <v>373</v>
      </c>
      <c r="F27" s="71" t="s">
        <v>367</v>
      </c>
      <c r="G27" s="71" t="s">
        <v>369</v>
      </c>
      <c r="H27" s="71" t="s">
        <v>397</v>
      </c>
      <c r="I27" s="71" t="s">
        <v>384</v>
      </c>
    </row>
    <row r="28" spans="1:9" ht="87" x14ac:dyDescent="0.35">
      <c r="A28">
        <v>1</v>
      </c>
      <c r="B28">
        <v>27</v>
      </c>
      <c r="C28" t="s">
        <v>404</v>
      </c>
      <c r="D28" s="64">
        <f>VLOOKUP(C28,'CHAS - Cook Co'!$C$1:$J$2762,2,FALSE) - VLOOKUP(C28,'CHAS - Chicago'!$C$1:$J$2762,2,FALSE)</f>
        <v>425</v>
      </c>
      <c r="E28" t="s">
        <v>373</v>
      </c>
      <c r="F28" s="71" t="s">
        <v>367</v>
      </c>
      <c r="G28" s="71" t="s">
        <v>369</v>
      </c>
      <c r="H28" s="71" t="s">
        <v>397</v>
      </c>
      <c r="I28" s="71" t="s">
        <v>386</v>
      </c>
    </row>
    <row r="29" spans="1:9" ht="87" x14ac:dyDescent="0.35">
      <c r="A29">
        <v>1</v>
      </c>
      <c r="B29">
        <v>28</v>
      </c>
      <c r="C29" t="s">
        <v>405</v>
      </c>
      <c r="D29" s="64">
        <f>VLOOKUP(C29,'CHAS - Cook Co'!$C$1:$J$2762,2,FALSE) - VLOOKUP(C29,'CHAS - Chicago'!$C$1:$J$2762,2,FALSE)</f>
        <v>22970</v>
      </c>
      <c r="E29" t="s">
        <v>366</v>
      </c>
      <c r="F29" s="71" t="s">
        <v>367</v>
      </c>
      <c r="G29" s="71" t="s">
        <v>369</v>
      </c>
      <c r="H29" s="71" t="s">
        <v>406</v>
      </c>
      <c r="I29" s="71" t="s">
        <v>364</v>
      </c>
    </row>
    <row r="30" spans="1:9" ht="87" x14ac:dyDescent="0.35">
      <c r="A30">
        <v>1</v>
      </c>
      <c r="B30">
        <v>29</v>
      </c>
      <c r="C30" t="s">
        <v>407</v>
      </c>
      <c r="D30" s="64">
        <f>VLOOKUP(C30,'CHAS - Cook Co'!$C$1:$J$2762,2,FALSE) - VLOOKUP(C30,'CHAS - Chicago'!$C$1:$J$2762,2,FALSE)</f>
        <v>14730</v>
      </c>
      <c r="E30" t="s">
        <v>373</v>
      </c>
      <c r="F30" s="71" t="s">
        <v>367</v>
      </c>
      <c r="G30" s="71" t="s">
        <v>369</v>
      </c>
      <c r="H30" s="71" t="s">
        <v>406</v>
      </c>
      <c r="I30" s="71" t="s">
        <v>374</v>
      </c>
    </row>
    <row r="31" spans="1:9" ht="87" x14ac:dyDescent="0.35">
      <c r="A31">
        <v>1</v>
      </c>
      <c r="B31">
        <v>30</v>
      </c>
      <c r="C31" t="s">
        <v>408</v>
      </c>
      <c r="D31" s="64">
        <f>VLOOKUP(C31,'CHAS - Cook Co'!$C$1:$J$2762,2,FALSE) - VLOOKUP(C31,'CHAS - Chicago'!$C$1:$J$2762,2,FALSE)</f>
        <v>3060</v>
      </c>
      <c r="E31" t="s">
        <v>373</v>
      </c>
      <c r="F31" s="71" t="s">
        <v>367</v>
      </c>
      <c r="G31" s="71" t="s">
        <v>369</v>
      </c>
      <c r="H31" s="71" t="s">
        <v>406</v>
      </c>
      <c r="I31" s="71" t="s">
        <v>376</v>
      </c>
    </row>
    <row r="32" spans="1:9" ht="87" x14ac:dyDescent="0.35">
      <c r="A32">
        <v>1</v>
      </c>
      <c r="B32">
        <v>31</v>
      </c>
      <c r="C32" t="s">
        <v>409</v>
      </c>
      <c r="D32" s="64">
        <f>VLOOKUP(C32,'CHAS - Cook Co'!$C$1:$J$2762,2,FALSE) - VLOOKUP(C32,'CHAS - Chicago'!$C$1:$J$2762,2,FALSE)</f>
        <v>1475</v>
      </c>
      <c r="E32" t="s">
        <v>373</v>
      </c>
      <c r="F32" s="71" t="s">
        <v>367</v>
      </c>
      <c r="G32" s="71" t="s">
        <v>369</v>
      </c>
      <c r="H32" s="71" t="s">
        <v>406</v>
      </c>
      <c r="I32" s="71" t="s">
        <v>378</v>
      </c>
    </row>
    <row r="33" spans="1:9" ht="87" x14ac:dyDescent="0.35">
      <c r="A33">
        <v>1</v>
      </c>
      <c r="B33">
        <v>32</v>
      </c>
      <c r="C33" t="s">
        <v>410</v>
      </c>
      <c r="D33" s="64">
        <f>VLOOKUP(C33,'CHAS - Cook Co'!$C$1:$J$2762,2,FALSE) - VLOOKUP(C33,'CHAS - Chicago'!$C$1:$J$2762,2,FALSE)</f>
        <v>25</v>
      </c>
      <c r="E33" t="s">
        <v>373</v>
      </c>
      <c r="F33" s="71" t="s">
        <v>367</v>
      </c>
      <c r="G33" s="71" t="s">
        <v>369</v>
      </c>
      <c r="H33" s="71" t="s">
        <v>406</v>
      </c>
      <c r="I33" s="71" t="s">
        <v>380</v>
      </c>
    </row>
    <row r="34" spans="1:9" ht="87" x14ac:dyDescent="0.35">
      <c r="A34">
        <v>1</v>
      </c>
      <c r="B34">
        <v>33</v>
      </c>
      <c r="C34" t="s">
        <v>411</v>
      </c>
      <c r="D34" s="64">
        <f>VLOOKUP(C34,'CHAS - Cook Co'!$C$1:$J$2762,2,FALSE) - VLOOKUP(C34,'CHAS - Chicago'!$C$1:$J$2762,2,FALSE)</f>
        <v>0</v>
      </c>
      <c r="E34" t="s">
        <v>373</v>
      </c>
      <c r="F34" s="71" t="s">
        <v>367</v>
      </c>
      <c r="G34" s="71" t="s">
        <v>369</v>
      </c>
      <c r="H34" s="71" t="s">
        <v>406</v>
      </c>
      <c r="I34" s="71" t="s">
        <v>382</v>
      </c>
    </row>
    <row r="35" spans="1:9" ht="87" x14ac:dyDescent="0.35">
      <c r="A35">
        <v>1</v>
      </c>
      <c r="B35">
        <v>34</v>
      </c>
      <c r="C35" t="s">
        <v>412</v>
      </c>
      <c r="D35" s="64">
        <f>VLOOKUP(C35,'CHAS - Cook Co'!$C$1:$J$2762,2,FALSE) - VLOOKUP(C35,'CHAS - Chicago'!$C$1:$J$2762,2,FALSE)</f>
        <v>3540</v>
      </c>
      <c r="E35" t="s">
        <v>373</v>
      </c>
      <c r="F35" s="71" t="s">
        <v>367</v>
      </c>
      <c r="G35" s="71" t="s">
        <v>369</v>
      </c>
      <c r="H35" s="71" t="s">
        <v>406</v>
      </c>
      <c r="I35" s="71" t="s">
        <v>384</v>
      </c>
    </row>
    <row r="36" spans="1:9" ht="87" x14ac:dyDescent="0.35">
      <c r="A36">
        <v>1</v>
      </c>
      <c r="B36">
        <v>35</v>
      </c>
      <c r="C36" t="s">
        <v>413</v>
      </c>
      <c r="D36" s="64">
        <f>VLOOKUP(C36,'CHAS - Cook Co'!$C$1:$J$2762,2,FALSE) - VLOOKUP(C36,'CHAS - Chicago'!$C$1:$J$2762,2,FALSE)</f>
        <v>135</v>
      </c>
      <c r="E36" t="s">
        <v>373</v>
      </c>
      <c r="F36" s="71" t="s">
        <v>367</v>
      </c>
      <c r="G36" s="71" t="s">
        <v>369</v>
      </c>
      <c r="H36" s="71" t="s">
        <v>406</v>
      </c>
      <c r="I36" s="71" t="s">
        <v>386</v>
      </c>
    </row>
    <row r="37" spans="1:9" ht="87" x14ac:dyDescent="0.35">
      <c r="A37">
        <v>1</v>
      </c>
      <c r="B37">
        <v>36</v>
      </c>
      <c r="C37" t="s">
        <v>414</v>
      </c>
      <c r="D37" s="64">
        <f>VLOOKUP(C37,'CHAS - Cook Co'!$C$1:$J$2762,2,FALSE) - VLOOKUP(C37,'CHAS - Chicago'!$C$1:$J$2762,2,FALSE)</f>
        <v>36735</v>
      </c>
      <c r="E37" t="s">
        <v>366</v>
      </c>
      <c r="F37" s="71" t="s">
        <v>367</v>
      </c>
      <c r="G37" s="71" t="s">
        <v>369</v>
      </c>
      <c r="H37" s="71" t="s">
        <v>415</v>
      </c>
      <c r="I37" s="71" t="s">
        <v>364</v>
      </c>
    </row>
    <row r="38" spans="1:9" ht="87" x14ac:dyDescent="0.35">
      <c r="A38">
        <v>1</v>
      </c>
      <c r="B38">
        <v>37</v>
      </c>
      <c r="C38" t="s">
        <v>416</v>
      </c>
      <c r="D38" s="64">
        <f>VLOOKUP(C38,'CHAS - Cook Co'!$C$1:$J$2762,2,FALSE) - VLOOKUP(C38,'CHAS - Chicago'!$C$1:$J$2762,2,FALSE)</f>
        <v>24595</v>
      </c>
      <c r="E38" t="s">
        <v>373</v>
      </c>
      <c r="F38" s="71" t="s">
        <v>367</v>
      </c>
      <c r="G38" s="71" t="s">
        <v>369</v>
      </c>
      <c r="H38" s="71" t="s">
        <v>415</v>
      </c>
      <c r="I38" s="71" t="s">
        <v>374</v>
      </c>
    </row>
    <row r="39" spans="1:9" ht="87" x14ac:dyDescent="0.35">
      <c r="A39">
        <v>1</v>
      </c>
      <c r="B39">
        <v>38</v>
      </c>
      <c r="C39" t="s">
        <v>417</v>
      </c>
      <c r="D39" s="64">
        <f>VLOOKUP(C39,'CHAS - Cook Co'!$C$1:$J$2762,2,FALSE) - VLOOKUP(C39,'CHAS - Chicago'!$C$1:$J$2762,2,FALSE)</f>
        <v>3485</v>
      </c>
      <c r="E39" t="s">
        <v>373</v>
      </c>
      <c r="F39" s="71" t="s">
        <v>367</v>
      </c>
      <c r="G39" s="71" t="s">
        <v>369</v>
      </c>
      <c r="H39" s="71" t="s">
        <v>415</v>
      </c>
      <c r="I39" s="71" t="s">
        <v>376</v>
      </c>
    </row>
    <row r="40" spans="1:9" ht="87" x14ac:dyDescent="0.35">
      <c r="A40">
        <v>1</v>
      </c>
      <c r="B40">
        <v>39</v>
      </c>
      <c r="C40" t="s">
        <v>418</v>
      </c>
      <c r="D40" s="64">
        <f>VLOOKUP(C40,'CHAS - Cook Co'!$C$1:$J$2762,2,FALSE) - VLOOKUP(C40,'CHAS - Chicago'!$C$1:$J$2762,2,FALSE)</f>
        <v>4600</v>
      </c>
      <c r="E40" t="s">
        <v>373</v>
      </c>
      <c r="F40" s="71" t="s">
        <v>367</v>
      </c>
      <c r="G40" s="71" t="s">
        <v>369</v>
      </c>
      <c r="H40" s="71" t="s">
        <v>415</v>
      </c>
      <c r="I40" s="71" t="s">
        <v>378</v>
      </c>
    </row>
    <row r="41" spans="1:9" ht="87" x14ac:dyDescent="0.35">
      <c r="A41">
        <v>1</v>
      </c>
      <c r="B41">
        <v>40</v>
      </c>
      <c r="C41" t="s">
        <v>419</v>
      </c>
      <c r="D41" s="64">
        <f>VLOOKUP(C41,'CHAS - Cook Co'!$C$1:$J$2762,2,FALSE) - VLOOKUP(C41,'CHAS - Chicago'!$C$1:$J$2762,2,FALSE)</f>
        <v>5</v>
      </c>
      <c r="E41" t="s">
        <v>373</v>
      </c>
      <c r="F41" s="71" t="s">
        <v>367</v>
      </c>
      <c r="G41" s="71" t="s">
        <v>369</v>
      </c>
      <c r="H41" s="71" t="s">
        <v>415</v>
      </c>
      <c r="I41" s="71" t="s">
        <v>380</v>
      </c>
    </row>
    <row r="42" spans="1:9" ht="87" x14ac:dyDescent="0.35">
      <c r="A42">
        <v>1</v>
      </c>
      <c r="B42">
        <v>41</v>
      </c>
      <c r="C42" t="s">
        <v>420</v>
      </c>
      <c r="D42" s="64">
        <f>VLOOKUP(C42,'CHAS - Cook Co'!$C$1:$J$2762,2,FALSE) - VLOOKUP(C42,'CHAS - Chicago'!$C$1:$J$2762,2,FALSE)</f>
        <v>0</v>
      </c>
      <c r="E42" t="s">
        <v>373</v>
      </c>
      <c r="F42" s="71" t="s">
        <v>367</v>
      </c>
      <c r="G42" s="71" t="s">
        <v>369</v>
      </c>
      <c r="H42" s="71" t="s">
        <v>415</v>
      </c>
      <c r="I42" s="71" t="s">
        <v>382</v>
      </c>
    </row>
    <row r="43" spans="1:9" ht="87" x14ac:dyDescent="0.35">
      <c r="A43">
        <v>1</v>
      </c>
      <c r="B43">
        <v>42</v>
      </c>
      <c r="C43" t="s">
        <v>421</v>
      </c>
      <c r="D43" s="64">
        <f>VLOOKUP(C43,'CHAS - Cook Co'!$C$1:$J$2762,2,FALSE) - VLOOKUP(C43,'CHAS - Chicago'!$C$1:$J$2762,2,FALSE)</f>
        <v>3615</v>
      </c>
      <c r="E43" t="s">
        <v>373</v>
      </c>
      <c r="F43" s="71" t="s">
        <v>367</v>
      </c>
      <c r="G43" s="71" t="s">
        <v>369</v>
      </c>
      <c r="H43" s="71" t="s">
        <v>415</v>
      </c>
      <c r="I43" s="71" t="s">
        <v>384</v>
      </c>
    </row>
    <row r="44" spans="1:9" ht="87" x14ac:dyDescent="0.35">
      <c r="A44">
        <v>1</v>
      </c>
      <c r="B44">
        <v>43</v>
      </c>
      <c r="C44" t="s">
        <v>422</v>
      </c>
      <c r="D44" s="64">
        <f>VLOOKUP(C44,'CHAS - Cook Co'!$C$1:$J$2762,2,FALSE) - VLOOKUP(C44,'CHAS - Chicago'!$C$1:$J$2762,2,FALSE)</f>
        <v>435</v>
      </c>
      <c r="E44" t="s">
        <v>373</v>
      </c>
      <c r="F44" s="71" t="s">
        <v>367</v>
      </c>
      <c r="G44" s="71" t="s">
        <v>369</v>
      </c>
      <c r="H44" s="71" t="s">
        <v>415</v>
      </c>
      <c r="I44" s="71" t="s">
        <v>386</v>
      </c>
    </row>
    <row r="45" spans="1:9" ht="29" x14ac:dyDescent="0.35">
      <c r="A45">
        <v>1</v>
      </c>
      <c r="B45">
        <v>44</v>
      </c>
      <c r="C45" t="s">
        <v>423</v>
      </c>
      <c r="D45" s="64">
        <f>VLOOKUP(C45,'CHAS - Cook Co'!$C$1:$J$2762,2,FALSE) - VLOOKUP(C45,'CHAS - Chicago'!$C$1:$J$2762,2,FALSE)</f>
        <v>435775</v>
      </c>
      <c r="E45" t="s">
        <v>366</v>
      </c>
      <c r="F45" s="71" t="s">
        <v>367</v>
      </c>
      <c r="G45" s="71" t="s">
        <v>424</v>
      </c>
      <c r="H45" s="71" t="s">
        <v>363</v>
      </c>
      <c r="I45" s="71" t="s">
        <v>364</v>
      </c>
    </row>
    <row r="46" spans="1:9" ht="29" x14ac:dyDescent="0.35">
      <c r="A46">
        <v>1</v>
      </c>
      <c r="B46">
        <v>45</v>
      </c>
      <c r="C46" t="s">
        <v>425</v>
      </c>
      <c r="D46" s="64">
        <f>VLOOKUP(C46,'CHAS - Cook Co'!$C$1:$J$2762,2,FALSE) - VLOOKUP(C46,'CHAS - Chicago'!$C$1:$J$2762,2,FALSE)</f>
        <v>4085</v>
      </c>
      <c r="E46" t="s">
        <v>366</v>
      </c>
      <c r="F46" s="71" t="s">
        <v>367</v>
      </c>
      <c r="G46" s="71" t="s">
        <v>424</v>
      </c>
      <c r="H46" s="71" t="s">
        <v>371</v>
      </c>
      <c r="I46" s="71" t="s">
        <v>364</v>
      </c>
    </row>
    <row r="47" spans="1:9" ht="29" x14ac:dyDescent="0.35">
      <c r="A47">
        <v>1</v>
      </c>
      <c r="B47">
        <v>46</v>
      </c>
      <c r="C47" t="s">
        <v>426</v>
      </c>
      <c r="D47" s="64">
        <f>VLOOKUP(C47,'CHAS - Cook Co'!$C$1:$J$2762,2,FALSE) - VLOOKUP(C47,'CHAS - Chicago'!$C$1:$J$2762,2,FALSE)</f>
        <v>3065</v>
      </c>
      <c r="E47" t="s">
        <v>373</v>
      </c>
      <c r="F47" s="71" t="s">
        <v>367</v>
      </c>
      <c r="G47" s="71" t="s">
        <v>424</v>
      </c>
      <c r="H47" s="71" t="s">
        <v>371</v>
      </c>
      <c r="I47" s="71" t="s">
        <v>374</v>
      </c>
    </row>
    <row r="48" spans="1:9" ht="29" x14ac:dyDescent="0.35">
      <c r="A48">
        <v>1</v>
      </c>
      <c r="B48">
        <v>47</v>
      </c>
      <c r="C48" t="s">
        <v>427</v>
      </c>
      <c r="D48" s="64">
        <f>VLOOKUP(C48,'CHAS - Cook Co'!$C$1:$J$2762,2,FALSE) - VLOOKUP(C48,'CHAS - Chicago'!$C$1:$J$2762,2,FALSE)</f>
        <v>405</v>
      </c>
      <c r="E48" t="s">
        <v>373</v>
      </c>
      <c r="F48" s="71" t="s">
        <v>367</v>
      </c>
      <c r="G48" s="71" t="s">
        <v>424</v>
      </c>
      <c r="H48" s="71" t="s">
        <v>371</v>
      </c>
      <c r="I48" s="71" t="s">
        <v>376</v>
      </c>
    </row>
    <row r="49" spans="1:9" ht="29" x14ac:dyDescent="0.35">
      <c r="A49">
        <v>1</v>
      </c>
      <c r="B49">
        <v>48</v>
      </c>
      <c r="C49" t="s">
        <v>428</v>
      </c>
      <c r="D49" s="64">
        <f>VLOOKUP(C49,'CHAS - Cook Co'!$C$1:$J$2762,2,FALSE) - VLOOKUP(C49,'CHAS - Chicago'!$C$1:$J$2762,2,FALSE)</f>
        <v>120</v>
      </c>
      <c r="E49" t="s">
        <v>373</v>
      </c>
      <c r="F49" s="71" t="s">
        <v>367</v>
      </c>
      <c r="G49" s="71" t="s">
        <v>424</v>
      </c>
      <c r="H49" s="71" t="s">
        <v>371</v>
      </c>
      <c r="I49" s="71" t="s">
        <v>378</v>
      </c>
    </row>
    <row r="50" spans="1:9" ht="29" x14ac:dyDescent="0.35">
      <c r="A50">
        <v>1</v>
      </c>
      <c r="B50">
        <v>49</v>
      </c>
      <c r="C50" t="s">
        <v>429</v>
      </c>
      <c r="D50" s="64">
        <f>VLOOKUP(C50,'CHAS - Cook Co'!$C$1:$J$2762,2,FALSE) - VLOOKUP(C50,'CHAS - Chicago'!$C$1:$J$2762,2,FALSE)</f>
        <v>10</v>
      </c>
      <c r="E50" t="s">
        <v>373</v>
      </c>
      <c r="F50" s="71" t="s">
        <v>367</v>
      </c>
      <c r="G50" s="71" t="s">
        <v>424</v>
      </c>
      <c r="H50" s="71" t="s">
        <v>371</v>
      </c>
      <c r="I50" s="71" t="s">
        <v>380</v>
      </c>
    </row>
    <row r="51" spans="1:9" ht="29" x14ac:dyDescent="0.35">
      <c r="A51">
        <v>1</v>
      </c>
      <c r="B51">
        <v>50</v>
      </c>
      <c r="C51" t="s">
        <v>430</v>
      </c>
      <c r="D51" s="64">
        <f>VLOOKUP(C51,'CHAS - Cook Co'!$C$1:$J$2762,2,FALSE) - VLOOKUP(C51,'CHAS - Chicago'!$C$1:$J$2762,2,FALSE)</f>
        <v>0</v>
      </c>
      <c r="E51" t="s">
        <v>373</v>
      </c>
      <c r="F51" s="71" t="s">
        <v>367</v>
      </c>
      <c r="G51" s="71" t="s">
        <v>424</v>
      </c>
      <c r="H51" s="71" t="s">
        <v>371</v>
      </c>
      <c r="I51" s="71" t="s">
        <v>382</v>
      </c>
    </row>
    <row r="52" spans="1:9" ht="29" x14ac:dyDescent="0.35">
      <c r="A52">
        <v>1</v>
      </c>
      <c r="B52">
        <v>51</v>
      </c>
      <c r="C52" t="s">
        <v>431</v>
      </c>
      <c r="D52" s="64">
        <f>VLOOKUP(C52,'CHAS - Cook Co'!$C$1:$J$2762,2,FALSE) - VLOOKUP(C52,'CHAS - Chicago'!$C$1:$J$2762,2,FALSE)</f>
        <v>475</v>
      </c>
      <c r="E52" t="s">
        <v>373</v>
      </c>
      <c r="F52" s="71" t="s">
        <v>367</v>
      </c>
      <c r="G52" s="71" t="s">
        <v>424</v>
      </c>
      <c r="H52" s="71" t="s">
        <v>371</v>
      </c>
      <c r="I52" s="71" t="s">
        <v>384</v>
      </c>
    </row>
    <row r="53" spans="1:9" ht="29" x14ac:dyDescent="0.35">
      <c r="A53">
        <v>1</v>
      </c>
      <c r="B53">
        <v>52</v>
      </c>
      <c r="C53" t="s">
        <v>432</v>
      </c>
      <c r="D53" s="64">
        <f>VLOOKUP(C53,'CHAS - Cook Co'!$C$1:$J$2762,2,FALSE) - VLOOKUP(C53,'CHAS - Chicago'!$C$1:$J$2762,2,FALSE)</f>
        <v>10</v>
      </c>
      <c r="E53" t="s">
        <v>373</v>
      </c>
      <c r="F53" s="71" t="s">
        <v>367</v>
      </c>
      <c r="G53" s="71" t="s">
        <v>424</v>
      </c>
      <c r="H53" s="71" t="s">
        <v>371</v>
      </c>
      <c r="I53" s="71" t="s">
        <v>386</v>
      </c>
    </row>
    <row r="54" spans="1:9" ht="43.5" x14ac:dyDescent="0.35">
      <c r="A54">
        <v>1</v>
      </c>
      <c r="B54">
        <v>53</v>
      </c>
      <c r="C54" t="s">
        <v>433</v>
      </c>
      <c r="D54" s="64">
        <f>VLOOKUP(C54,'CHAS - Cook Co'!$C$1:$J$2762,2,FALSE) - VLOOKUP(C54,'CHAS - Chicago'!$C$1:$J$2762,2,FALSE)</f>
        <v>19490</v>
      </c>
      <c r="E54" t="s">
        <v>366</v>
      </c>
      <c r="F54" s="71" t="s">
        <v>367</v>
      </c>
      <c r="G54" s="71" t="s">
        <v>424</v>
      </c>
      <c r="H54" s="71" t="s">
        <v>388</v>
      </c>
      <c r="I54" s="71" t="s">
        <v>364</v>
      </c>
    </row>
    <row r="55" spans="1:9" ht="43.5" x14ac:dyDescent="0.35">
      <c r="A55">
        <v>1</v>
      </c>
      <c r="B55">
        <v>54</v>
      </c>
      <c r="C55" t="s">
        <v>434</v>
      </c>
      <c r="D55" s="64">
        <f>VLOOKUP(C55,'CHAS - Cook Co'!$C$1:$J$2762,2,FALSE) - VLOOKUP(C55,'CHAS - Chicago'!$C$1:$J$2762,2,FALSE)</f>
        <v>14420</v>
      </c>
      <c r="E55" t="s">
        <v>373</v>
      </c>
      <c r="F55" s="71" t="s">
        <v>367</v>
      </c>
      <c r="G55" s="71" t="s">
        <v>424</v>
      </c>
      <c r="H55" s="71" t="s">
        <v>388</v>
      </c>
      <c r="I55" s="71" t="s">
        <v>374</v>
      </c>
    </row>
    <row r="56" spans="1:9" ht="43.5" x14ac:dyDescent="0.35">
      <c r="A56">
        <v>1</v>
      </c>
      <c r="B56">
        <v>55</v>
      </c>
      <c r="C56" t="s">
        <v>435</v>
      </c>
      <c r="D56" s="64">
        <f>VLOOKUP(C56,'CHAS - Cook Co'!$C$1:$J$2762,2,FALSE) - VLOOKUP(C56,'CHAS - Chicago'!$C$1:$J$2762,2,FALSE)</f>
        <v>1810</v>
      </c>
      <c r="E56" t="s">
        <v>373</v>
      </c>
      <c r="F56" s="71" t="s">
        <v>367</v>
      </c>
      <c r="G56" s="71" t="s">
        <v>424</v>
      </c>
      <c r="H56" s="71" t="s">
        <v>388</v>
      </c>
      <c r="I56" s="71" t="s">
        <v>376</v>
      </c>
    </row>
    <row r="57" spans="1:9" ht="43.5" x14ac:dyDescent="0.35">
      <c r="A57">
        <v>1</v>
      </c>
      <c r="B57">
        <v>56</v>
      </c>
      <c r="C57" t="s">
        <v>436</v>
      </c>
      <c r="D57" s="64">
        <f>VLOOKUP(C57,'CHAS - Cook Co'!$C$1:$J$2762,2,FALSE) - VLOOKUP(C57,'CHAS - Chicago'!$C$1:$J$2762,2,FALSE)</f>
        <v>465</v>
      </c>
      <c r="E57" t="s">
        <v>373</v>
      </c>
      <c r="F57" s="71" t="s">
        <v>367</v>
      </c>
      <c r="G57" s="71" t="s">
        <v>424</v>
      </c>
      <c r="H57" s="71" t="s">
        <v>388</v>
      </c>
      <c r="I57" s="71" t="s">
        <v>378</v>
      </c>
    </row>
    <row r="58" spans="1:9" ht="43.5" x14ac:dyDescent="0.35">
      <c r="A58">
        <v>1</v>
      </c>
      <c r="B58">
        <v>57</v>
      </c>
      <c r="C58" t="s">
        <v>437</v>
      </c>
      <c r="D58" s="64">
        <f>VLOOKUP(C58,'CHAS - Cook Co'!$C$1:$J$2762,2,FALSE) - VLOOKUP(C58,'CHAS - Chicago'!$C$1:$J$2762,2,FALSE)</f>
        <v>20</v>
      </c>
      <c r="E58" t="s">
        <v>373</v>
      </c>
      <c r="F58" s="71" t="s">
        <v>367</v>
      </c>
      <c r="G58" s="71" t="s">
        <v>424</v>
      </c>
      <c r="H58" s="71" t="s">
        <v>388</v>
      </c>
      <c r="I58" s="71" t="s">
        <v>380</v>
      </c>
    </row>
    <row r="59" spans="1:9" ht="43.5" x14ac:dyDescent="0.35">
      <c r="A59">
        <v>1</v>
      </c>
      <c r="B59">
        <v>58</v>
      </c>
      <c r="C59" t="s">
        <v>438</v>
      </c>
      <c r="D59" s="64">
        <f>VLOOKUP(C59,'CHAS - Cook Co'!$C$1:$J$2762,2,FALSE) - VLOOKUP(C59,'CHAS - Chicago'!$C$1:$J$2762,2,FALSE)</f>
        <v>0</v>
      </c>
      <c r="E59" t="s">
        <v>373</v>
      </c>
      <c r="F59" s="71" t="s">
        <v>367</v>
      </c>
      <c r="G59" s="71" t="s">
        <v>424</v>
      </c>
      <c r="H59" s="71" t="s">
        <v>388</v>
      </c>
      <c r="I59" s="71" t="s">
        <v>382</v>
      </c>
    </row>
    <row r="60" spans="1:9" ht="43.5" x14ac:dyDescent="0.35">
      <c r="A60">
        <v>1</v>
      </c>
      <c r="B60">
        <v>59</v>
      </c>
      <c r="C60" t="s">
        <v>439</v>
      </c>
      <c r="D60" s="64">
        <f>VLOOKUP(C60,'CHAS - Cook Co'!$C$1:$J$2762,2,FALSE) - VLOOKUP(C60,'CHAS - Chicago'!$C$1:$J$2762,2,FALSE)</f>
        <v>2620</v>
      </c>
      <c r="E60" t="s">
        <v>373</v>
      </c>
      <c r="F60" s="71" t="s">
        <v>367</v>
      </c>
      <c r="G60" s="71" t="s">
        <v>424</v>
      </c>
      <c r="H60" s="71" t="s">
        <v>388</v>
      </c>
      <c r="I60" s="71" t="s">
        <v>384</v>
      </c>
    </row>
    <row r="61" spans="1:9" ht="43.5" x14ac:dyDescent="0.35">
      <c r="A61">
        <v>1</v>
      </c>
      <c r="B61">
        <v>60</v>
      </c>
      <c r="C61" t="s">
        <v>440</v>
      </c>
      <c r="D61" s="64">
        <f>VLOOKUP(C61,'CHAS - Cook Co'!$C$1:$J$2762,2,FALSE) - VLOOKUP(C61,'CHAS - Chicago'!$C$1:$J$2762,2,FALSE)</f>
        <v>155</v>
      </c>
      <c r="E61" t="s">
        <v>373</v>
      </c>
      <c r="F61" s="71" t="s">
        <v>367</v>
      </c>
      <c r="G61" s="71" t="s">
        <v>424</v>
      </c>
      <c r="H61" s="71" t="s">
        <v>388</v>
      </c>
      <c r="I61" s="71" t="s">
        <v>386</v>
      </c>
    </row>
    <row r="62" spans="1:9" ht="43.5" x14ac:dyDescent="0.35">
      <c r="A62">
        <v>1</v>
      </c>
      <c r="B62">
        <v>61</v>
      </c>
      <c r="C62" t="s">
        <v>441</v>
      </c>
      <c r="D62" s="64">
        <f>VLOOKUP(C62,'CHAS - Cook Co'!$C$1:$J$2762,2,FALSE) - VLOOKUP(C62,'CHAS - Chicago'!$C$1:$J$2762,2,FALSE)</f>
        <v>51085</v>
      </c>
      <c r="E62" t="s">
        <v>366</v>
      </c>
      <c r="F62" s="71" t="s">
        <v>367</v>
      </c>
      <c r="G62" s="71" t="s">
        <v>424</v>
      </c>
      <c r="H62" s="71" t="s">
        <v>397</v>
      </c>
      <c r="I62" s="71" t="s">
        <v>364</v>
      </c>
    </row>
    <row r="63" spans="1:9" ht="43.5" x14ac:dyDescent="0.35">
      <c r="A63">
        <v>1</v>
      </c>
      <c r="B63">
        <v>62</v>
      </c>
      <c r="C63" t="s">
        <v>442</v>
      </c>
      <c r="D63" s="64">
        <f>VLOOKUP(C63,'CHAS - Cook Co'!$C$1:$J$2762,2,FALSE) - VLOOKUP(C63,'CHAS - Chicago'!$C$1:$J$2762,2,FALSE)</f>
        <v>35420</v>
      </c>
      <c r="E63" t="s">
        <v>373</v>
      </c>
      <c r="F63" s="71" t="s">
        <v>367</v>
      </c>
      <c r="G63" s="71" t="s">
        <v>424</v>
      </c>
      <c r="H63" s="71" t="s">
        <v>397</v>
      </c>
      <c r="I63" s="71" t="s">
        <v>374</v>
      </c>
    </row>
    <row r="64" spans="1:9" ht="43.5" x14ac:dyDescent="0.35">
      <c r="A64">
        <v>1</v>
      </c>
      <c r="B64">
        <v>63</v>
      </c>
      <c r="C64" t="s">
        <v>443</v>
      </c>
      <c r="D64" s="64">
        <f>VLOOKUP(C64,'CHAS - Cook Co'!$C$1:$J$2762,2,FALSE) - VLOOKUP(C64,'CHAS - Chicago'!$C$1:$J$2762,2,FALSE)</f>
        <v>6605</v>
      </c>
      <c r="E64" t="s">
        <v>373</v>
      </c>
      <c r="F64" s="71" t="s">
        <v>367</v>
      </c>
      <c r="G64" s="71" t="s">
        <v>424</v>
      </c>
      <c r="H64" s="71" t="s">
        <v>397</v>
      </c>
      <c r="I64" s="71" t="s">
        <v>376</v>
      </c>
    </row>
    <row r="65" spans="1:9" ht="43.5" x14ac:dyDescent="0.35">
      <c r="A65">
        <v>1</v>
      </c>
      <c r="B65">
        <v>64</v>
      </c>
      <c r="C65" t="s">
        <v>444</v>
      </c>
      <c r="D65" s="64">
        <f>VLOOKUP(C65,'CHAS - Cook Co'!$C$1:$J$2762,2,FALSE) - VLOOKUP(C65,'CHAS - Chicago'!$C$1:$J$2762,2,FALSE)</f>
        <v>2070</v>
      </c>
      <c r="E65" t="s">
        <v>373</v>
      </c>
      <c r="F65" s="71" t="s">
        <v>367</v>
      </c>
      <c r="G65" s="71" t="s">
        <v>424</v>
      </c>
      <c r="H65" s="71" t="s">
        <v>397</v>
      </c>
      <c r="I65" s="71" t="s">
        <v>378</v>
      </c>
    </row>
    <row r="66" spans="1:9" ht="43.5" x14ac:dyDescent="0.35">
      <c r="A66">
        <v>1</v>
      </c>
      <c r="B66">
        <v>65</v>
      </c>
      <c r="C66" t="s">
        <v>445</v>
      </c>
      <c r="D66" s="64">
        <f>VLOOKUP(C66,'CHAS - Cook Co'!$C$1:$J$2762,2,FALSE) - VLOOKUP(C66,'CHAS - Chicago'!$C$1:$J$2762,2,FALSE)</f>
        <v>75</v>
      </c>
      <c r="E66" t="s">
        <v>373</v>
      </c>
      <c r="F66" s="71" t="s">
        <v>367</v>
      </c>
      <c r="G66" s="71" t="s">
        <v>424</v>
      </c>
      <c r="H66" s="71" t="s">
        <v>397</v>
      </c>
      <c r="I66" s="71" t="s">
        <v>380</v>
      </c>
    </row>
    <row r="67" spans="1:9" ht="43.5" x14ac:dyDescent="0.35">
      <c r="A67">
        <v>1</v>
      </c>
      <c r="B67">
        <v>66</v>
      </c>
      <c r="C67" t="s">
        <v>446</v>
      </c>
      <c r="D67" s="64">
        <f>VLOOKUP(C67,'CHAS - Cook Co'!$C$1:$J$2762,2,FALSE) - VLOOKUP(C67,'CHAS - Chicago'!$C$1:$J$2762,2,FALSE)</f>
        <v>0</v>
      </c>
      <c r="E67" t="s">
        <v>373</v>
      </c>
      <c r="F67" s="71" t="s">
        <v>367</v>
      </c>
      <c r="G67" s="71" t="s">
        <v>424</v>
      </c>
      <c r="H67" s="71" t="s">
        <v>397</v>
      </c>
      <c r="I67" s="71" t="s">
        <v>382</v>
      </c>
    </row>
    <row r="68" spans="1:9" ht="43.5" x14ac:dyDescent="0.35">
      <c r="A68">
        <v>1</v>
      </c>
      <c r="B68">
        <v>67</v>
      </c>
      <c r="C68" t="s">
        <v>447</v>
      </c>
      <c r="D68" s="64">
        <f>VLOOKUP(C68,'CHAS - Cook Co'!$C$1:$J$2762,2,FALSE) - VLOOKUP(C68,'CHAS - Chicago'!$C$1:$J$2762,2,FALSE)</f>
        <v>6450</v>
      </c>
      <c r="E68" t="s">
        <v>373</v>
      </c>
      <c r="F68" s="71" t="s">
        <v>367</v>
      </c>
      <c r="G68" s="71" t="s">
        <v>424</v>
      </c>
      <c r="H68" s="71" t="s">
        <v>397</v>
      </c>
      <c r="I68" s="71" t="s">
        <v>384</v>
      </c>
    </row>
    <row r="69" spans="1:9" ht="43.5" x14ac:dyDescent="0.35">
      <c r="A69">
        <v>1</v>
      </c>
      <c r="B69">
        <v>68</v>
      </c>
      <c r="C69" t="s">
        <v>448</v>
      </c>
      <c r="D69" s="64">
        <f>VLOOKUP(C69,'CHAS - Cook Co'!$C$1:$J$2762,2,FALSE) - VLOOKUP(C69,'CHAS - Chicago'!$C$1:$J$2762,2,FALSE)</f>
        <v>460</v>
      </c>
      <c r="E69" t="s">
        <v>373</v>
      </c>
      <c r="F69" s="71" t="s">
        <v>367</v>
      </c>
      <c r="G69" s="71" t="s">
        <v>424</v>
      </c>
      <c r="H69" s="71" t="s">
        <v>397</v>
      </c>
      <c r="I69" s="71" t="s">
        <v>386</v>
      </c>
    </row>
    <row r="70" spans="1:9" ht="43.5" x14ac:dyDescent="0.35">
      <c r="A70">
        <v>1</v>
      </c>
      <c r="B70">
        <v>69</v>
      </c>
      <c r="C70" t="s">
        <v>449</v>
      </c>
      <c r="D70" s="64">
        <f>VLOOKUP(C70,'CHAS - Cook Co'!$C$1:$J$2762,2,FALSE) - VLOOKUP(C70,'CHAS - Chicago'!$C$1:$J$2762,2,FALSE)</f>
        <v>46245</v>
      </c>
      <c r="E70" t="s">
        <v>366</v>
      </c>
      <c r="F70" s="71" t="s">
        <v>367</v>
      </c>
      <c r="G70" s="71" t="s">
        <v>424</v>
      </c>
      <c r="H70" s="71" t="s">
        <v>406</v>
      </c>
      <c r="I70" s="71" t="s">
        <v>364</v>
      </c>
    </row>
    <row r="71" spans="1:9" ht="43.5" x14ac:dyDescent="0.35">
      <c r="A71">
        <v>1</v>
      </c>
      <c r="B71">
        <v>70</v>
      </c>
      <c r="C71" t="s">
        <v>450</v>
      </c>
      <c r="D71" s="64">
        <f>VLOOKUP(C71,'CHAS - Cook Co'!$C$1:$J$2762,2,FALSE) - VLOOKUP(C71,'CHAS - Chicago'!$C$1:$J$2762,2,FALSE)</f>
        <v>30300</v>
      </c>
      <c r="E71" t="s">
        <v>373</v>
      </c>
      <c r="F71" s="71" t="s">
        <v>367</v>
      </c>
      <c r="G71" s="71" t="s">
        <v>424</v>
      </c>
      <c r="H71" s="71" t="s">
        <v>406</v>
      </c>
      <c r="I71" s="71" t="s">
        <v>374</v>
      </c>
    </row>
    <row r="72" spans="1:9" ht="43.5" x14ac:dyDescent="0.35">
      <c r="A72">
        <v>1</v>
      </c>
      <c r="B72">
        <v>71</v>
      </c>
      <c r="C72" t="s">
        <v>451</v>
      </c>
      <c r="D72" s="64">
        <f>VLOOKUP(C72,'CHAS - Cook Co'!$C$1:$J$2762,2,FALSE) - VLOOKUP(C72,'CHAS - Chicago'!$C$1:$J$2762,2,FALSE)</f>
        <v>6480</v>
      </c>
      <c r="E72" t="s">
        <v>373</v>
      </c>
      <c r="F72" s="71" t="s">
        <v>367</v>
      </c>
      <c r="G72" s="71" t="s">
        <v>424</v>
      </c>
      <c r="H72" s="71" t="s">
        <v>406</v>
      </c>
      <c r="I72" s="71" t="s">
        <v>376</v>
      </c>
    </row>
    <row r="73" spans="1:9" ht="43.5" x14ac:dyDescent="0.35">
      <c r="A73">
        <v>1</v>
      </c>
      <c r="B73">
        <v>72</v>
      </c>
      <c r="C73" t="s">
        <v>452</v>
      </c>
      <c r="D73" s="64">
        <f>VLOOKUP(C73,'CHAS - Cook Co'!$C$1:$J$2762,2,FALSE) - VLOOKUP(C73,'CHAS - Chicago'!$C$1:$J$2762,2,FALSE)</f>
        <v>1810</v>
      </c>
      <c r="E73" t="s">
        <v>373</v>
      </c>
      <c r="F73" s="71" t="s">
        <v>367</v>
      </c>
      <c r="G73" s="71" t="s">
        <v>424</v>
      </c>
      <c r="H73" s="71" t="s">
        <v>406</v>
      </c>
      <c r="I73" s="71" t="s">
        <v>378</v>
      </c>
    </row>
    <row r="74" spans="1:9" ht="43.5" x14ac:dyDescent="0.35">
      <c r="A74">
        <v>1</v>
      </c>
      <c r="B74">
        <v>73</v>
      </c>
      <c r="C74" t="s">
        <v>453</v>
      </c>
      <c r="D74" s="64">
        <f>VLOOKUP(C74,'CHAS - Cook Co'!$C$1:$J$2762,2,FALSE) - VLOOKUP(C74,'CHAS - Chicago'!$C$1:$J$2762,2,FALSE)</f>
        <v>76</v>
      </c>
      <c r="E74" t="s">
        <v>373</v>
      </c>
      <c r="F74" s="71" t="s">
        <v>367</v>
      </c>
      <c r="G74" s="71" t="s">
        <v>424</v>
      </c>
      <c r="H74" s="71" t="s">
        <v>406</v>
      </c>
      <c r="I74" s="71" t="s">
        <v>380</v>
      </c>
    </row>
    <row r="75" spans="1:9" ht="43.5" x14ac:dyDescent="0.35">
      <c r="A75">
        <v>1</v>
      </c>
      <c r="B75">
        <v>74</v>
      </c>
      <c r="C75" t="s">
        <v>454</v>
      </c>
      <c r="D75" s="64">
        <f>VLOOKUP(C75,'CHAS - Cook Co'!$C$1:$J$2762,2,FALSE) - VLOOKUP(C75,'CHAS - Chicago'!$C$1:$J$2762,2,FALSE)</f>
        <v>20</v>
      </c>
      <c r="E75" t="s">
        <v>373</v>
      </c>
      <c r="F75" s="71" t="s">
        <v>367</v>
      </c>
      <c r="G75" s="71" t="s">
        <v>424</v>
      </c>
      <c r="H75" s="71" t="s">
        <v>406</v>
      </c>
      <c r="I75" s="71" t="s">
        <v>382</v>
      </c>
    </row>
    <row r="76" spans="1:9" ht="43.5" x14ac:dyDescent="0.35">
      <c r="A76">
        <v>1</v>
      </c>
      <c r="B76">
        <v>75</v>
      </c>
      <c r="C76" t="s">
        <v>455</v>
      </c>
      <c r="D76" s="64">
        <f>VLOOKUP(C76,'CHAS - Cook Co'!$C$1:$J$2762,2,FALSE) - VLOOKUP(C76,'CHAS - Chicago'!$C$1:$J$2762,2,FALSE)</f>
        <v>7170</v>
      </c>
      <c r="E76" t="s">
        <v>373</v>
      </c>
      <c r="F76" s="71" t="s">
        <v>367</v>
      </c>
      <c r="G76" s="71" t="s">
        <v>424</v>
      </c>
      <c r="H76" s="71" t="s">
        <v>406</v>
      </c>
      <c r="I76" s="71" t="s">
        <v>384</v>
      </c>
    </row>
    <row r="77" spans="1:9" ht="43.5" x14ac:dyDescent="0.35">
      <c r="A77">
        <v>1</v>
      </c>
      <c r="B77">
        <v>76</v>
      </c>
      <c r="C77" t="s">
        <v>456</v>
      </c>
      <c r="D77" s="64">
        <f>VLOOKUP(C77,'CHAS - Cook Co'!$C$1:$J$2762,2,FALSE) - VLOOKUP(C77,'CHAS - Chicago'!$C$1:$J$2762,2,FALSE)</f>
        <v>385</v>
      </c>
      <c r="E77" t="s">
        <v>373</v>
      </c>
      <c r="F77" s="71" t="s">
        <v>367</v>
      </c>
      <c r="G77" s="71" t="s">
        <v>424</v>
      </c>
      <c r="H77" s="71" t="s">
        <v>406</v>
      </c>
      <c r="I77" s="71" t="s">
        <v>386</v>
      </c>
    </row>
    <row r="78" spans="1:9" ht="29" x14ac:dyDescent="0.35">
      <c r="A78">
        <v>1</v>
      </c>
      <c r="B78">
        <v>77</v>
      </c>
      <c r="C78" t="s">
        <v>457</v>
      </c>
      <c r="D78" s="64">
        <f>VLOOKUP(C78,'CHAS - Cook Co'!$C$1:$J$2762,2,FALSE) - VLOOKUP(C78,'CHAS - Chicago'!$C$1:$J$2762,2,FALSE)</f>
        <v>314870</v>
      </c>
      <c r="E78" t="s">
        <v>366</v>
      </c>
      <c r="F78" s="71" t="s">
        <v>367</v>
      </c>
      <c r="G78" s="71" t="s">
        <v>424</v>
      </c>
      <c r="H78" s="71" t="s">
        <v>415</v>
      </c>
      <c r="I78" s="71" t="s">
        <v>364</v>
      </c>
    </row>
    <row r="79" spans="1:9" ht="29" x14ac:dyDescent="0.35">
      <c r="A79">
        <v>1</v>
      </c>
      <c r="B79">
        <v>78</v>
      </c>
      <c r="C79" t="s">
        <v>458</v>
      </c>
      <c r="D79" s="64">
        <f>VLOOKUP(C79,'CHAS - Cook Co'!$C$1:$J$2762,2,FALSE) - VLOOKUP(C79,'CHAS - Chicago'!$C$1:$J$2762,2,FALSE)</f>
        <v>235225</v>
      </c>
      <c r="E79" t="s">
        <v>373</v>
      </c>
      <c r="F79" s="71" t="s">
        <v>367</v>
      </c>
      <c r="G79" s="71" t="s">
        <v>424</v>
      </c>
      <c r="H79" s="71" t="s">
        <v>415</v>
      </c>
      <c r="I79" s="71" t="s">
        <v>374</v>
      </c>
    </row>
    <row r="80" spans="1:9" ht="29" x14ac:dyDescent="0.35">
      <c r="A80">
        <v>1</v>
      </c>
      <c r="B80">
        <v>79</v>
      </c>
      <c r="C80" t="s">
        <v>459</v>
      </c>
      <c r="D80" s="64">
        <f>VLOOKUP(C80,'CHAS - Cook Co'!$C$1:$J$2762,2,FALSE) - VLOOKUP(C80,'CHAS - Chicago'!$C$1:$J$2762,2,FALSE)</f>
        <v>30845</v>
      </c>
      <c r="E80" t="s">
        <v>373</v>
      </c>
      <c r="F80" s="71" t="s">
        <v>367</v>
      </c>
      <c r="G80" s="71" t="s">
        <v>424</v>
      </c>
      <c r="H80" s="71" t="s">
        <v>415</v>
      </c>
      <c r="I80" s="71" t="s">
        <v>376</v>
      </c>
    </row>
    <row r="81" spans="1:9" ht="29" x14ac:dyDescent="0.35">
      <c r="A81">
        <v>1</v>
      </c>
      <c r="B81">
        <v>80</v>
      </c>
      <c r="C81" t="s">
        <v>460</v>
      </c>
      <c r="D81" s="64">
        <f>VLOOKUP(C81,'CHAS - Cook Co'!$C$1:$J$2762,2,FALSE) - VLOOKUP(C81,'CHAS - Chicago'!$C$1:$J$2762,2,FALSE)</f>
        <v>20915</v>
      </c>
      <c r="E81" t="s">
        <v>373</v>
      </c>
      <c r="F81" s="71" t="s">
        <v>367</v>
      </c>
      <c r="G81" s="71" t="s">
        <v>424</v>
      </c>
      <c r="H81" s="71" t="s">
        <v>415</v>
      </c>
      <c r="I81" s="71" t="s">
        <v>378</v>
      </c>
    </row>
    <row r="82" spans="1:9" ht="29" x14ac:dyDescent="0.35">
      <c r="A82">
        <v>1</v>
      </c>
      <c r="B82">
        <v>81</v>
      </c>
      <c r="C82" t="s">
        <v>461</v>
      </c>
      <c r="D82" s="64">
        <f>VLOOKUP(C82,'CHAS - Cook Co'!$C$1:$J$2762,2,FALSE) - VLOOKUP(C82,'CHAS - Chicago'!$C$1:$J$2762,2,FALSE)</f>
        <v>195</v>
      </c>
      <c r="E82" t="s">
        <v>373</v>
      </c>
      <c r="F82" s="71" t="s">
        <v>367</v>
      </c>
      <c r="G82" s="71" t="s">
        <v>424</v>
      </c>
      <c r="H82" s="71" t="s">
        <v>415</v>
      </c>
      <c r="I82" s="71" t="s">
        <v>380</v>
      </c>
    </row>
    <row r="83" spans="1:9" ht="29" x14ac:dyDescent="0.35">
      <c r="A83">
        <v>1</v>
      </c>
      <c r="B83">
        <v>82</v>
      </c>
      <c r="C83" t="s">
        <v>462</v>
      </c>
      <c r="D83" s="64">
        <f>VLOOKUP(C83,'CHAS - Cook Co'!$C$1:$J$2762,2,FALSE) - VLOOKUP(C83,'CHAS - Chicago'!$C$1:$J$2762,2,FALSE)</f>
        <v>60</v>
      </c>
      <c r="E83" t="s">
        <v>373</v>
      </c>
      <c r="F83" s="71" t="s">
        <v>367</v>
      </c>
      <c r="G83" s="71" t="s">
        <v>424</v>
      </c>
      <c r="H83" s="71" t="s">
        <v>415</v>
      </c>
      <c r="I83" s="71" t="s">
        <v>382</v>
      </c>
    </row>
    <row r="84" spans="1:9" ht="29" x14ac:dyDescent="0.35">
      <c r="A84">
        <v>1</v>
      </c>
      <c r="B84">
        <v>83</v>
      </c>
      <c r="C84" t="s">
        <v>463</v>
      </c>
      <c r="D84" s="64">
        <f>VLOOKUP(C84,'CHAS - Cook Co'!$C$1:$J$2762,2,FALSE) - VLOOKUP(C84,'CHAS - Chicago'!$C$1:$J$2762,2,FALSE)</f>
        <v>24945</v>
      </c>
      <c r="E84" t="s">
        <v>373</v>
      </c>
      <c r="F84" s="71" t="s">
        <v>367</v>
      </c>
      <c r="G84" s="71" t="s">
        <v>424</v>
      </c>
      <c r="H84" s="71" t="s">
        <v>415</v>
      </c>
      <c r="I84" s="71" t="s">
        <v>384</v>
      </c>
    </row>
    <row r="85" spans="1:9" ht="29" x14ac:dyDescent="0.35">
      <c r="A85">
        <v>1</v>
      </c>
      <c r="B85">
        <v>84</v>
      </c>
      <c r="C85" t="s">
        <v>464</v>
      </c>
      <c r="D85" s="64">
        <f>VLOOKUP(C85,'CHAS - Cook Co'!$C$1:$J$2762,2,FALSE) - VLOOKUP(C85,'CHAS - Chicago'!$C$1:$J$2762,2,FALSE)</f>
        <v>2690</v>
      </c>
      <c r="E85" t="s">
        <v>373</v>
      </c>
      <c r="F85" s="71" t="s">
        <v>367</v>
      </c>
      <c r="G85" s="71" t="s">
        <v>424</v>
      </c>
      <c r="H85" s="71" t="s">
        <v>415</v>
      </c>
      <c r="I85" s="71" t="s">
        <v>386</v>
      </c>
    </row>
    <row r="86" spans="1:9" ht="43.5" x14ac:dyDescent="0.35">
      <c r="A86">
        <v>1</v>
      </c>
      <c r="B86">
        <v>85</v>
      </c>
      <c r="C86" t="s">
        <v>465</v>
      </c>
      <c r="D86" s="64">
        <f>VLOOKUP(C86,'CHAS - Cook Co'!$C$1:$J$2762,2,FALSE) - VLOOKUP(C86,'CHAS - Chicago'!$C$1:$J$2762,2,FALSE)</f>
        <v>5515</v>
      </c>
      <c r="E86" t="s">
        <v>366</v>
      </c>
      <c r="F86" s="71" t="s">
        <v>367</v>
      </c>
      <c r="G86" s="71" t="s">
        <v>466</v>
      </c>
      <c r="H86" s="71" t="s">
        <v>363</v>
      </c>
      <c r="I86" s="71" t="s">
        <v>364</v>
      </c>
    </row>
    <row r="87" spans="1:9" ht="43.5" x14ac:dyDescent="0.35">
      <c r="A87">
        <v>1</v>
      </c>
      <c r="B87">
        <v>86</v>
      </c>
      <c r="C87" t="s">
        <v>467</v>
      </c>
      <c r="D87" s="64">
        <f>VLOOKUP(C87,'CHAS - Cook Co'!$C$1:$J$2762,2,FALSE) - VLOOKUP(C87,'CHAS - Chicago'!$C$1:$J$2762,2,FALSE)</f>
        <v>5515</v>
      </c>
      <c r="E87" t="s">
        <v>366</v>
      </c>
      <c r="F87" s="71" t="s">
        <v>367</v>
      </c>
      <c r="G87" s="71" t="s">
        <v>466</v>
      </c>
      <c r="H87" s="71" t="s">
        <v>371</v>
      </c>
      <c r="I87" s="71" t="s">
        <v>364</v>
      </c>
    </row>
    <row r="88" spans="1:9" ht="43.5" x14ac:dyDescent="0.35">
      <c r="A88">
        <v>1</v>
      </c>
      <c r="B88">
        <v>87</v>
      </c>
      <c r="C88" t="s">
        <v>468</v>
      </c>
      <c r="D88" s="64">
        <f>VLOOKUP(C88,'CHAS - Cook Co'!$C$1:$J$2762,2,FALSE) - VLOOKUP(C88,'CHAS - Chicago'!$C$1:$J$2762,2,FALSE)</f>
        <v>3475</v>
      </c>
      <c r="E88" t="s">
        <v>373</v>
      </c>
      <c r="F88" s="71" t="s">
        <v>367</v>
      </c>
      <c r="G88" s="71" t="s">
        <v>466</v>
      </c>
      <c r="H88" s="71" t="s">
        <v>371</v>
      </c>
      <c r="I88" s="71" t="s">
        <v>374</v>
      </c>
    </row>
    <row r="89" spans="1:9" ht="43.5" x14ac:dyDescent="0.35">
      <c r="A89">
        <v>1</v>
      </c>
      <c r="B89">
        <v>88</v>
      </c>
      <c r="C89" t="s">
        <v>469</v>
      </c>
      <c r="D89" s="64">
        <f>VLOOKUP(C89,'CHAS - Cook Co'!$C$1:$J$2762,2,FALSE) - VLOOKUP(C89,'CHAS - Chicago'!$C$1:$J$2762,2,FALSE)</f>
        <v>1065</v>
      </c>
      <c r="E89" t="s">
        <v>373</v>
      </c>
      <c r="F89" s="71" t="s">
        <v>367</v>
      </c>
      <c r="G89" s="71" t="s">
        <v>466</v>
      </c>
      <c r="H89" s="71" t="s">
        <v>371</v>
      </c>
      <c r="I89" s="71" t="s">
        <v>376</v>
      </c>
    </row>
    <row r="90" spans="1:9" ht="43.5" x14ac:dyDescent="0.35">
      <c r="A90">
        <v>1</v>
      </c>
      <c r="B90">
        <v>89</v>
      </c>
      <c r="C90" t="s">
        <v>470</v>
      </c>
      <c r="D90" s="64">
        <f>VLOOKUP(C90,'CHAS - Cook Co'!$C$1:$J$2762,2,FALSE) - VLOOKUP(C90,'CHAS - Chicago'!$C$1:$J$2762,2,FALSE)</f>
        <v>470</v>
      </c>
      <c r="E90" t="s">
        <v>373</v>
      </c>
      <c r="F90" s="71" t="s">
        <v>367</v>
      </c>
      <c r="G90" s="71" t="s">
        <v>466</v>
      </c>
      <c r="H90" s="71" t="s">
        <v>371</v>
      </c>
      <c r="I90" s="71" t="s">
        <v>378</v>
      </c>
    </row>
    <row r="91" spans="1:9" ht="43.5" x14ac:dyDescent="0.35">
      <c r="A91">
        <v>1</v>
      </c>
      <c r="B91">
        <v>90</v>
      </c>
      <c r="C91" t="s">
        <v>471</v>
      </c>
      <c r="D91" s="64">
        <f>VLOOKUP(C91,'CHAS - Cook Co'!$C$1:$J$2762,2,FALSE) - VLOOKUP(C91,'CHAS - Chicago'!$C$1:$J$2762,2,FALSE)</f>
        <v>0</v>
      </c>
      <c r="E91" t="s">
        <v>373</v>
      </c>
      <c r="F91" s="71" t="s">
        <v>367</v>
      </c>
      <c r="G91" s="71" t="s">
        <v>466</v>
      </c>
      <c r="H91" s="71" t="s">
        <v>371</v>
      </c>
      <c r="I91" s="71" t="s">
        <v>380</v>
      </c>
    </row>
    <row r="92" spans="1:9" ht="43.5" x14ac:dyDescent="0.35">
      <c r="A92">
        <v>1</v>
      </c>
      <c r="B92">
        <v>91</v>
      </c>
      <c r="C92" t="s">
        <v>472</v>
      </c>
      <c r="D92" s="64">
        <f>VLOOKUP(C92,'CHAS - Cook Co'!$C$1:$J$2762,2,FALSE) - VLOOKUP(C92,'CHAS - Chicago'!$C$1:$J$2762,2,FALSE)</f>
        <v>0</v>
      </c>
      <c r="E92" t="s">
        <v>373</v>
      </c>
      <c r="F92" s="71" t="s">
        <v>367</v>
      </c>
      <c r="G92" s="71" t="s">
        <v>466</v>
      </c>
      <c r="H92" s="71" t="s">
        <v>371</v>
      </c>
      <c r="I92" s="71" t="s">
        <v>382</v>
      </c>
    </row>
    <row r="93" spans="1:9" ht="43.5" x14ac:dyDescent="0.35">
      <c r="A93">
        <v>1</v>
      </c>
      <c r="B93">
        <v>92</v>
      </c>
      <c r="C93" t="s">
        <v>473</v>
      </c>
      <c r="D93" s="64">
        <f>VLOOKUP(C93,'CHAS - Cook Co'!$C$1:$J$2762,2,FALSE) - VLOOKUP(C93,'CHAS - Chicago'!$C$1:$J$2762,2,FALSE)</f>
        <v>455</v>
      </c>
      <c r="E93" t="s">
        <v>373</v>
      </c>
      <c r="F93" s="71" t="s">
        <v>367</v>
      </c>
      <c r="G93" s="71" t="s">
        <v>466</v>
      </c>
      <c r="H93" s="71" t="s">
        <v>371</v>
      </c>
      <c r="I93" s="71" t="s">
        <v>384</v>
      </c>
    </row>
    <row r="94" spans="1:9" ht="43.5" x14ac:dyDescent="0.35">
      <c r="A94">
        <v>1</v>
      </c>
      <c r="B94">
        <v>93</v>
      </c>
      <c r="C94" t="s">
        <v>474</v>
      </c>
      <c r="D94" s="64">
        <f>VLOOKUP(C94,'CHAS - Cook Co'!$C$1:$J$2762,2,FALSE) - VLOOKUP(C94,'CHAS - Chicago'!$C$1:$J$2762,2,FALSE)</f>
        <v>40</v>
      </c>
      <c r="E94" t="s">
        <v>373</v>
      </c>
      <c r="F94" s="71" t="s">
        <v>367</v>
      </c>
      <c r="G94" s="71" t="s">
        <v>466</v>
      </c>
      <c r="H94" s="71" t="s">
        <v>371</v>
      </c>
      <c r="I94" s="71" t="s">
        <v>386</v>
      </c>
    </row>
    <row r="95" spans="1:9" ht="43.5" x14ac:dyDescent="0.35">
      <c r="A95">
        <v>1</v>
      </c>
      <c r="B95">
        <v>94</v>
      </c>
      <c r="C95" t="s">
        <v>475</v>
      </c>
      <c r="D95" s="64">
        <f>VLOOKUP(C95,'CHAS - Cook Co'!$C$1:$J$2762,2,FALSE) - VLOOKUP(C95,'CHAS - Chicago'!$C$1:$J$2762,2,FALSE)</f>
        <v>0</v>
      </c>
      <c r="E95" t="s">
        <v>366</v>
      </c>
      <c r="F95" s="71" t="s">
        <v>367</v>
      </c>
      <c r="G95" s="71" t="s">
        <v>466</v>
      </c>
      <c r="H95" s="71" t="s">
        <v>388</v>
      </c>
      <c r="I95" s="71" t="s">
        <v>364</v>
      </c>
    </row>
    <row r="96" spans="1:9" ht="43.5" x14ac:dyDescent="0.35">
      <c r="A96">
        <v>1</v>
      </c>
      <c r="B96">
        <v>95</v>
      </c>
      <c r="C96" t="s">
        <v>476</v>
      </c>
      <c r="D96" s="64">
        <f>VLOOKUP(C96,'CHAS - Cook Co'!$C$1:$J$2762,2,FALSE) - VLOOKUP(C96,'CHAS - Chicago'!$C$1:$J$2762,2,FALSE)</f>
        <v>0</v>
      </c>
      <c r="E96" t="s">
        <v>373</v>
      </c>
      <c r="F96" s="71" t="s">
        <v>367</v>
      </c>
      <c r="G96" s="71" t="s">
        <v>466</v>
      </c>
      <c r="H96" s="71" t="s">
        <v>388</v>
      </c>
      <c r="I96" s="71" t="s">
        <v>374</v>
      </c>
    </row>
    <row r="97" spans="1:9" ht="43.5" x14ac:dyDescent="0.35">
      <c r="A97">
        <v>1</v>
      </c>
      <c r="B97">
        <v>96</v>
      </c>
      <c r="C97" t="s">
        <v>477</v>
      </c>
      <c r="D97" s="64">
        <f>VLOOKUP(C97,'CHAS - Cook Co'!$C$1:$J$2762,2,FALSE) - VLOOKUP(C97,'CHAS - Chicago'!$C$1:$J$2762,2,FALSE)</f>
        <v>0</v>
      </c>
      <c r="E97" t="s">
        <v>373</v>
      </c>
      <c r="F97" s="71" t="s">
        <v>367</v>
      </c>
      <c r="G97" s="71" t="s">
        <v>466</v>
      </c>
      <c r="H97" s="71" t="s">
        <v>388</v>
      </c>
      <c r="I97" s="71" t="s">
        <v>376</v>
      </c>
    </row>
    <row r="98" spans="1:9" ht="43.5" x14ac:dyDescent="0.35">
      <c r="A98">
        <v>1</v>
      </c>
      <c r="B98">
        <v>97</v>
      </c>
      <c r="C98" t="s">
        <v>478</v>
      </c>
      <c r="D98" s="64">
        <f>VLOOKUP(C98,'CHAS - Cook Co'!$C$1:$J$2762,2,FALSE) - VLOOKUP(C98,'CHAS - Chicago'!$C$1:$J$2762,2,FALSE)</f>
        <v>0</v>
      </c>
      <c r="E98" t="s">
        <v>373</v>
      </c>
      <c r="F98" s="71" t="s">
        <v>367</v>
      </c>
      <c r="G98" s="71" t="s">
        <v>466</v>
      </c>
      <c r="H98" s="71" t="s">
        <v>388</v>
      </c>
      <c r="I98" s="71" t="s">
        <v>378</v>
      </c>
    </row>
    <row r="99" spans="1:9" ht="43.5" x14ac:dyDescent="0.35">
      <c r="A99">
        <v>1</v>
      </c>
      <c r="B99">
        <v>98</v>
      </c>
      <c r="C99" t="s">
        <v>479</v>
      </c>
      <c r="D99" s="64">
        <f>VLOOKUP(C99,'CHAS - Cook Co'!$C$1:$J$2762,2,FALSE) - VLOOKUP(C99,'CHAS - Chicago'!$C$1:$J$2762,2,FALSE)</f>
        <v>0</v>
      </c>
      <c r="E99" t="s">
        <v>373</v>
      </c>
      <c r="F99" s="71" t="s">
        <v>367</v>
      </c>
      <c r="G99" s="71" t="s">
        <v>466</v>
      </c>
      <c r="H99" s="71" t="s">
        <v>388</v>
      </c>
      <c r="I99" s="71" t="s">
        <v>380</v>
      </c>
    </row>
    <row r="100" spans="1:9" ht="43.5" x14ac:dyDescent="0.35">
      <c r="A100">
        <v>1</v>
      </c>
      <c r="B100">
        <v>99</v>
      </c>
      <c r="C100" t="s">
        <v>480</v>
      </c>
      <c r="D100" s="64">
        <f>VLOOKUP(C100,'CHAS - Cook Co'!$C$1:$J$2762,2,FALSE) - VLOOKUP(C100,'CHAS - Chicago'!$C$1:$J$2762,2,FALSE)</f>
        <v>0</v>
      </c>
      <c r="E100" t="s">
        <v>373</v>
      </c>
      <c r="F100" s="71" t="s">
        <v>367</v>
      </c>
      <c r="G100" s="71" t="s">
        <v>466</v>
      </c>
      <c r="H100" s="71" t="s">
        <v>388</v>
      </c>
      <c r="I100" s="71" t="s">
        <v>382</v>
      </c>
    </row>
    <row r="101" spans="1:9" ht="43.5" x14ac:dyDescent="0.35">
      <c r="A101">
        <v>1</v>
      </c>
      <c r="B101">
        <v>100</v>
      </c>
      <c r="C101" t="s">
        <v>481</v>
      </c>
      <c r="D101" s="64">
        <f>VLOOKUP(C101,'CHAS - Cook Co'!$C$1:$J$2762,2,FALSE) - VLOOKUP(C101,'CHAS - Chicago'!$C$1:$J$2762,2,FALSE)</f>
        <v>0</v>
      </c>
      <c r="E101" t="s">
        <v>373</v>
      </c>
      <c r="F101" s="71" t="s">
        <v>367</v>
      </c>
      <c r="G101" s="71" t="s">
        <v>466</v>
      </c>
      <c r="H101" s="71" t="s">
        <v>388</v>
      </c>
      <c r="I101" s="71" t="s">
        <v>384</v>
      </c>
    </row>
    <row r="102" spans="1:9" ht="43.5" x14ac:dyDescent="0.35">
      <c r="A102">
        <v>1</v>
      </c>
      <c r="B102">
        <v>101</v>
      </c>
      <c r="C102" t="s">
        <v>482</v>
      </c>
      <c r="D102" s="64">
        <f>VLOOKUP(C102,'CHAS - Cook Co'!$C$1:$J$2762,2,FALSE) - VLOOKUP(C102,'CHAS - Chicago'!$C$1:$J$2762,2,FALSE)</f>
        <v>0</v>
      </c>
      <c r="E102" t="s">
        <v>373</v>
      </c>
      <c r="F102" s="71" t="s">
        <v>367</v>
      </c>
      <c r="G102" s="71" t="s">
        <v>466</v>
      </c>
      <c r="H102" s="71" t="s">
        <v>388</v>
      </c>
      <c r="I102" s="71" t="s">
        <v>386</v>
      </c>
    </row>
    <row r="103" spans="1:9" ht="43.5" x14ac:dyDescent="0.35">
      <c r="A103">
        <v>1</v>
      </c>
      <c r="B103">
        <v>102</v>
      </c>
      <c r="C103" t="s">
        <v>483</v>
      </c>
      <c r="D103" s="64">
        <f>VLOOKUP(C103,'CHAS - Cook Co'!$C$1:$J$2762,2,FALSE) - VLOOKUP(C103,'CHAS - Chicago'!$C$1:$J$2762,2,FALSE)</f>
        <v>0</v>
      </c>
      <c r="E103" t="s">
        <v>366</v>
      </c>
      <c r="F103" s="71" t="s">
        <v>367</v>
      </c>
      <c r="G103" s="71" t="s">
        <v>466</v>
      </c>
      <c r="H103" s="71" t="s">
        <v>397</v>
      </c>
      <c r="I103" s="71" t="s">
        <v>364</v>
      </c>
    </row>
    <row r="104" spans="1:9" ht="43.5" x14ac:dyDescent="0.35">
      <c r="A104">
        <v>1</v>
      </c>
      <c r="B104">
        <v>103</v>
      </c>
      <c r="C104" t="s">
        <v>484</v>
      </c>
      <c r="D104" s="64">
        <f>VLOOKUP(C104,'CHAS - Cook Co'!$C$1:$J$2762,2,FALSE) - VLOOKUP(C104,'CHAS - Chicago'!$C$1:$J$2762,2,FALSE)</f>
        <v>0</v>
      </c>
      <c r="E104" t="s">
        <v>373</v>
      </c>
      <c r="F104" s="71" t="s">
        <v>367</v>
      </c>
      <c r="G104" s="71" t="s">
        <v>466</v>
      </c>
      <c r="H104" s="71" t="s">
        <v>397</v>
      </c>
      <c r="I104" s="71" t="s">
        <v>374</v>
      </c>
    </row>
    <row r="105" spans="1:9" ht="43.5" x14ac:dyDescent="0.35">
      <c r="A105">
        <v>1</v>
      </c>
      <c r="B105">
        <v>104</v>
      </c>
      <c r="C105" t="s">
        <v>485</v>
      </c>
      <c r="D105" s="64">
        <f>VLOOKUP(C105,'CHAS - Cook Co'!$C$1:$J$2762,2,FALSE) - VLOOKUP(C105,'CHAS - Chicago'!$C$1:$J$2762,2,FALSE)</f>
        <v>0</v>
      </c>
      <c r="E105" t="s">
        <v>373</v>
      </c>
      <c r="F105" s="71" t="s">
        <v>367</v>
      </c>
      <c r="G105" s="71" t="s">
        <v>466</v>
      </c>
      <c r="H105" s="71" t="s">
        <v>397</v>
      </c>
      <c r="I105" s="71" t="s">
        <v>376</v>
      </c>
    </row>
    <row r="106" spans="1:9" ht="43.5" x14ac:dyDescent="0.35">
      <c r="A106">
        <v>1</v>
      </c>
      <c r="B106">
        <v>105</v>
      </c>
      <c r="C106" t="s">
        <v>486</v>
      </c>
      <c r="D106" s="64">
        <f>VLOOKUP(C106,'CHAS - Cook Co'!$C$1:$J$2762,2,FALSE) - VLOOKUP(C106,'CHAS - Chicago'!$C$1:$J$2762,2,FALSE)</f>
        <v>0</v>
      </c>
      <c r="E106" t="s">
        <v>373</v>
      </c>
      <c r="F106" s="71" t="s">
        <v>367</v>
      </c>
      <c r="G106" s="71" t="s">
        <v>466</v>
      </c>
      <c r="H106" s="71" t="s">
        <v>397</v>
      </c>
      <c r="I106" s="71" t="s">
        <v>378</v>
      </c>
    </row>
    <row r="107" spans="1:9" ht="43.5" x14ac:dyDescent="0.35">
      <c r="A107">
        <v>1</v>
      </c>
      <c r="B107">
        <v>106</v>
      </c>
      <c r="C107" t="s">
        <v>487</v>
      </c>
      <c r="D107" s="64">
        <f>VLOOKUP(C107,'CHAS - Cook Co'!$C$1:$J$2762,2,FALSE) - VLOOKUP(C107,'CHAS - Chicago'!$C$1:$J$2762,2,FALSE)</f>
        <v>0</v>
      </c>
      <c r="E107" t="s">
        <v>373</v>
      </c>
      <c r="F107" s="71" t="s">
        <v>367</v>
      </c>
      <c r="G107" s="71" t="s">
        <v>466</v>
      </c>
      <c r="H107" s="71" t="s">
        <v>397</v>
      </c>
      <c r="I107" s="71" t="s">
        <v>380</v>
      </c>
    </row>
    <row r="108" spans="1:9" ht="43.5" x14ac:dyDescent="0.35">
      <c r="A108">
        <v>1</v>
      </c>
      <c r="B108">
        <v>107</v>
      </c>
      <c r="C108" t="s">
        <v>488</v>
      </c>
      <c r="D108" s="64">
        <f>VLOOKUP(C108,'CHAS - Cook Co'!$C$1:$J$2762,2,FALSE) - VLOOKUP(C108,'CHAS - Chicago'!$C$1:$J$2762,2,FALSE)</f>
        <v>0</v>
      </c>
      <c r="E108" t="s">
        <v>373</v>
      </c>
      <c r="F108" s="71" t="s">
        <v>367</v>
      </c>
      <c r="G108" s="71" t="s">
        <v>466</v>
      </c>
      <c r="H108" s="71" t="s">
        <v>397</v>
      </c>
      <c r="I108" s="71" t="s">
        <v>382</v>
      </c>
    </row>
    <row r="109" spans="1:9" ht="43.5" x14ac:dyDescent="0.35">
      <c r="A109">
        <v>1</v>
      </c>
      <c r="B109">
        <v>108</v>
      </c>
      <c r="C109" t="s">
        <v>489</v>
      </c>
      <c r="D109" s="64">
        <f>VLOOKUP(C109,'CHAS - Cook Co'!$C$1:$J$2762,2,FALSE) - VLOOKUP(C109,'CHAS - Chicago'!$C$1:$J$2762,2,FALSE)</f>
        <v>0</v>
      </c>
      <c r="E109" t="s">
        <v>373</v>
      </c>
      <c r="F109" s="71" t="s">
        <v>367</v>
      </c>
      <c r="G109" s="71" t="s">
        <v>466</v>
      </c>
      <c r="H109" s="71" t="s">
        <v>397</v>
      </c>
      <c r="I109" s="71" t="s">
        <v>384</v>
      </c>
    </row>
    <row r="110" spans="1:9" ht="43.5" x14ac:dyDescent="0.35">
      <c r="A110">
        <v>1</v>
      </c>
      <c r="B110">
        <v>109</v>
      </c>
      <c r="C110" t="s">
        <v>490</v>
      </c>
      <c r="D110" s="64">
        <f>VLOOKUP(C110,'CHAS - Cook Co'!$C$1:$J$2762,2,FALSE) - VLOOKUP(C110,'CHAS - Chicago'!$C$1:$J$2762,2,FALSE)</f>
        <v>0</v>
      </c>
      <c r="E110" t="s">
        <v>373</v>
      </c>
      <c r="F110" s="71" t="s">
        <v>367</v>
      </c>
      <c r="G110" s="71" t="s">
        <v>466</v>
      </c>
      <c r="H110" s="71" t="s">
        <v>397</v>
      </c>
      <c r="I110" s="71" t="s">
        <v>386</v>
      </c>
    </row>
    <row r="111" spans="1:9" ht="43.5" x14ac:dyDescent="0.35">
      <c r="A111">
        <v>1</v>
      </c>
      <c r="B111">
        <v>110</v>
      </c>
      <c r="C111" t="s">
        <v>491</v>
      </c>
      <c r="D111" s="64">
        <f>VLOOKUP(C111,'CHAS - Cook Co'!$C$1:$J$2762,2,FALSE) - VLOOKUP(C111,'CHAS - Chicago'!$C$1:$J$2762,2,FALSE)</f>
        <v>0</v>
      </c>
      <c r="E111" t="s">
        <v>366</v>
      </c>
      <c r="F111" s="71" t="s">
        <v>367</v>
      </c>
      <c r="G111" s="71" t="s">
        <v>466</v>
      </c>
      <c r="H111" s="71" t="s">
        <v>406</v>
      </c>
      <c r="I111" s="71" t="s">
        <v>364</v>
      </c>
    </row>
    <row r="112" spans="1:9" ht="43.5" x14ac:dyDescent="0.35">
      <c r="A112">
        <v>1</v>
      </c>
      <c r="B112">
        <v>111</v>
      </c>
      <c r="C112" t="s">
        <v>492</v>
      </c>
      <c r="D112" s="64">
        <f>VLOOKUP(C112,'CHAS - Cook Co'!$C$1:$J$2762,2,FALSE) - VLOOKUP(C112,'CHAS - Chicago'!$C$1:$J$2762,2,FALSE)</f>
        <v>0</v>
      </c>
      <c r="E112" t="s">
        <v>373</v>
      </c>
      <c r="F112" s="71" t="s">
        <v>367</v>
      </c>
      <c r="G112" s="71" t="s">
        <v>466</v>
      </c>
      <c r="H112" s="71" t="s">
        <v>406</v>
      </c>
      <c r="I112" s="71" t="s">
        <v>374</v>
      </c>
    </row>
    <row r="113" spans="1:9" ht="43.5" x14ac:dyDescent="0.35">
      <c r="A113">
        <v>1</v>
      </c>
      <c r="B113">
        <v>112</v>
      </c>
      <c r="C113" t="s">
        <v>493</v>
      </c>
      <c r="D113" s="64">
        <f>VLOOKUP(C113,'CHAS - Cook Co'!$C$1:$J$2762,2,FALSE) - VLOOKUP(C113,'CHAS - Chicago'!$C$1:$J$2762,2,FALSE)</f>
        <v>0</v>
      </c>
      <c r="E113" t="s">
        <v>373</v>
      </c>
      <c r="F113" s="71" t="s">
        <v>367</v>
      </c>
      <c r="G113" s="71" t="s">
        <v>466</v>
      </c>
      <c r="H113" s="71" t="s">
        <v>406</v>
      </c>
      <c r="I113" s="71" t="s">
        <v>376</v>
      </c>
    </row>
    <row r="114" spans="1:9" ht="43.5" x14ac:dyDescent="0.35">
      <c r="A114">
        <v>1</v>
      </c>
      <c r="B114">
        <v>113</v>
      </c>
      <c r="C114" t="s">
        <v>494</v>
      </c>
      <c r="D114" s="64">
        <f>VLOOKUP(C114,'CHAS - Cook Co'!$C$1:$J$2762,2,FALSE) - VLOOKUP(C114,'CHAS - Chicago'!$C$1:$J$2762,2,FALSE)</f>
        <v>0</v>
      </c>
      <c r="E114" t="s">
        <v>373</v>
      </c>
      <c r="F114" s="71" t="s">
        <v>367</v>
      </c>
      <c r="G114" s="71" t="s">
        <v>466</v>
      </c>
      <c r="H114" s="71" t="s">
        <v>406</v>
      </c>
      <c r="I114" s="71" t="s">
        <v>378</v>
      </c>
    </row>
    <row r="115" spans="1:9" ht="43.5" x14ac:dyDescent="0.35">
      <c r="A115">
        <v>1</v>
      </c>
      <c r="B115">
        <v>114</v>
      </c>
      <c r="C115" t="s">
        <v>495</v>
      </c>
      <c r="D115" s="64">
        <f>VLOOKUP(C115,'CHAS - Cook Co'!$C$1:$J$2762,2,FALSE) - VLOOKUP(C115,'CHAS - Chicago'!$C$1:$J$2762,2,FALSE)</f>
        <v>0</v>
      </c>
      <c r="E115" t="s">
        <v>373</v>
      </c>
      <c r="F115" s="71" t="s">
        <v>367</v>
      </c>
      <c r="G115" s="71" t="s">
        <v>466</v>
      </c>
      <c r="H115" s="71" t="s">
        <v>406</v>
      </c>
      <c r="I115" s="71" t="s">
        <v>380</v>
      </c>
    </row>
    <row r="116" spans="1:9" ht="43.5" x14ac:dyDescent="0.35">
      <c r="A116">
        <v>1</v>
      </c>
      <c r="B116">
        <v>115</v>
      </c>
      <c r="C116" t="s">
        <v>496</v>
      </c>
      <c r="D116" s="64">
        <f>VLOOKUP(C116,'CHAS - Cook Co'!$C$1:$J$2762,2,FALSE) - VLOOKUP(C116,'CHAS - Chicago'!$C$1:$J$2762,2,FALSE)</f>
        <v>0</v>
      </c>
      <c r="E116" t="s">
        <v>373</v>
      </c>
      <c r="F116" s="71" t="s">
        <v>367</v>
      </c>
      <c r="G116" s="71" t="s">
        <v>466</v>
      </c>
      <c r="H116" s="71" t="s">
        <v>406</v>
      </c>
      <c r="I116" s="71" t="s">
        <v>382</v>
      </c>
    </row>
    <row r="117" spans="1:9" ht="43.5" x14ac:dyDescent="0.35">
      <c r="A117">
        <v>1</v>
      </c>
      <c r="B117">
        <v>116</v>
      </c>
      <c r="C117" t="s">
        <v>497</v>
      </c>
      <c r="D117" s="64">
        <f>VLOOKUP(C117,'CHAS - Cook Co'!$C$1:$J$2762,2,FALSE) - VLOOKUP(C117,'CHAS - Chicago'!$C$1:$J$2762,2,FALSE)</f>
        <v>0</v>
      </c>
      <c r="E117" t="s">
        <v>373</v>
      </c>
      <c r="F117" s="71" t="s">
        <v>367</v>
      </c>
      <c r="G117" s="71" t="s">
        <v>466</v>
      </c>
      <c r="H117" s="71" t="s">
        <v>406</v>
      </c>
      <c r="I117" s="71" t="s">
        <v>384</v>
      </c>
    </row>
    <row r="118" spans="1:9" ht="43.5" x14ac:dyDescent="0.35">
      <c r="A118">
        <v>1</v>
      </c>
      <c r="B118">
        <v>117</v>
      </c>
      <c r="C118" t="s">
        <v>498</v>
      </c>
      <c r="D118" s="64">
        <f>VLOOKUP(C118,'CHAS - Cook Co'!$C$1:$J$2762,2,FALSE) - VLOOKUP(C118,'CHAS - Chicago'!$C$1:$J$2762,2,FALSE)</f>
        <v>0</v>
      </c>
      <c r="E118" t="s">
        <v>373</v>
      </c>
      <c r="F118" s="71" t="s">
        <v>367</v>
      </c>
      <c r="G118" s="71" t="s">
        <v>466</v>
      </c>
      <c r="H118" s="71" t="s">
        <v>406</v>
      </c>
      <c r="I118" s="71" t="s">
        <v>386</v>
      </c>
    </row>
    <row r="119" spans="1:9" ht="43.5" x14ac:dyDescent="0.35">
      <c r="A119">
        <v>1</v>
      </c>
      <c r="B119">
        <v>118</v>
      </c>
      <c r="C119" t="s">
        <v>499</v>
      </c>
      <c r="D119" s="64">
        <f>VLOOKUP(C119,'CHAS - Cook Co'!$C$1:$J$2762,2,FALSE) - VLOOKUP(C119,'CHAS - Chicago'!$C$1:$J$2762,2,FALSE)</f>
        <v>0</v>
      </c>
      <c r="E119" t="s">
        <v>366</v>
      </c>
      <c r="F119" s="71" t="s">
        <v>367</v>
      </c>
      <c r="G119" s="71" t="s">
        <v>466</v>
      </c>
      <c r="H119" s="71" t="s">
        <v>415</v>
      </c>
      <c r="I119" s="71" t="s">
        <v>364</v>
      </c>
    </row>
    <row r="120" spans="1:9" ht="43.5" x14ac:dyDescent="0.35">
      <c r="A120">
        <v>1</v>
      </c>
      <c r="B120">
        <v>119</v>
      </c>
      <c r="C120" t="s">
        <v>500</v>
      </c>
      <c r="D120" s="64">
        <f>VLOOKUP(C120,'CHAS - Cook Co'!$C$1:$J$2762,2,FALSE) - VLOOKUP(C120,'CHAS - Chicago'!$C$1:$J$2762,2,FALSE)</f>
        <v>0</v>
      </c>
      <c r="E120" t="s">
        <v>373</v>
      </c>
      <c r="F120" s="71" t="s">
        <v>367</v>
      </c>
      <c r="G120" s="71" t="s">
        <v>466</v>
      </c>
      <c r="H120" s="71" t="s">
        <v>415</v>
      </c>
      <c r="I120" s="71" t="s">
        <v>374</v>
      </c>
    </row>
    <row r="121" spans="1:9" ht="43.5" x14ac:dyDescent="0.35">
      <c r="A121">
        <v>1</v>
      </c>
      <c r="B121">
        <v>120</v>
      </c>
      <c r="C121" t="s">
        <v>501</v>
      </c>
      <c r="D121" s="64">
        <f>VLOOKUP(C121,'CHAS - Cook Co'!$C$1:$J$2762,2,FALSE) - VLOOKUP(C121,'CHAS - Chicago'!$C$1:$J$2762,2,FALSE)</f>
        <v>0</v>
      </c>
      <c r="E121" t="s">
        <v>373</v>
      </c>
      <c r="F121" s="71" t="s">
        <v>367</v>
      </c>
      <c r="G121" s="71" t="s">
        <v>466</v>
      </c>
      <c r="H121" s="71" t="s">
        <v>415</v>
      </c>
      <c r="I121" s="71" t="s">
        <v>376</v>
      </c>
    </row>
    <row r="122" spans="1:9" ht="43.5" x14ac:dyDescent="0.35">
      <c r="A122">
        <v>1</v>
      </c>
      <c r="B122">
        <v>121</v>
      </c>
      <c r="C122" t="s">
        <v>502</v>
      </c>
      <c r="D122" s="64">
        <f>VLOOKUP(C122,'CHAS - Cook Co'!$C$1:$J$2762,2,FALSE) - VLOOKUP(C122,'CHAS - Chicago'!$C$1:$J$2762,2,FALSE)</f>
        <v>0</v>
      </c>
      <c r="E122" t="s">
        <v>373</v>
      </c>
      <c r="F122" s="71" t="s">
        <v>367</v>
      </c>
      <c r="G122" s="71" t="s">
        <v>466</v>
      </c>
      <c r="H122" s="71" t="s">
        <v>415</v>
      </c>
      <c r="I122" s="71" t="s">
        <v>378</v>
      </c>
    </row>
    <row r="123" spans="1:9" ht="43.5" x14ac:dyDescent="0.35">
      <c r="A123">
        <v>1</v>
      </c>
      <c r="B123">
        <v>122</v>
      </c>
      <c r="C123" t="s">
        <v>503</v>
      </c>
      <c r="D123" s="64">
        <f>VLOOKUP(C123,'CHAS - Cook Co'!$C$1:$J$2762,2,FALSE) - VLOOKUP(C123,'CHAS - Chicago'!$C$1:$J$2762,2,FALSE)</f>
        <v>0</v>
      </c>
      <c r="E123" t="s">
        <v>373</v>
      </c>
      <c r="F123" s="71" t="s">
        <v>367</v>
      </c>
      <c r="G123" s="71" t="s">
        <v>466</v>
      </c>
      <c r="H123" s="71" t="s">
        <v>415</v>
      </c>
      <c r="I123" s="71" t="s">
        <v>380</v>
      </c>
    </row>
    <row r="124" spans="1:9" ht="43.5" x14ac:dyDescent="0.35">
      <c r="A124">
        <v>1</v>
      </c>
      <c r="B124">
        <v>123</v>
      </c>
      <c r="C124" t="s">
        <v>504</v>
      </c>
      <c r="D124" s="64">
        <f>VLOOKUP(C124,'CHAS - Cook Co'!$C$1:$J$2762,2,FALSE) - VLOOKUP(C124,'CHAS - Chicago'!$C$1:$J$2762,2,FALSE)</f>
        <v>0</v>
      </c>
      <c r="E124" t="s">
        <v>373</v>
      </c>
      <c r="F124" s="71" t="s">
        <v>367</v>
      </c>
      <c r="G124" s="71" t="s">
        <v>466</v>
      </c>
      <c r="H124" s="71" t="s">
        <v>415</v>
      </c>
      <c r="I124" s="71" t="s">
        <v>382</v>
      </c>
    </row>
    <row r="125" spans="1:9" ht="43.5" x14ac:dyDescent="0.35">
      <c r="A125">
        <v>1</v>
      </c>
      <c r="B125">
        <v>124</v>
      </c>
      <c r="C125" t="s">
        <v>505</v>
      </c>
      <c r="D125" s="64">
        <f>VLOOKUP(C125,'CHAS - Cook Co'!$C$1:$J$2762,2,FALSE) - VLOOKUP(C125,'CHAS - Chicago'!$C$1:$J$2762,2,FALSE)</f>
        <v>0</v>
      </c>
      <c r="E125" t="s">
        <v>373</v>
      </c>
      <c r="F125" s="71" t="s">
        <v>367</v>
      </c>
      <c r="G125" s="71" t="s">
        <v>466</v>
      </c>
      <c r="H125" s="71" t="s">
        <v>415</v>
      </c>
      <c r="I125" s="71" t="s">
        <v>384</v>
      </c>
    </row>
    <row r="126" spans="1:9" ht="43.5" x14ac:dyDescent="0.35">
      <c r="A126">
        <v>1</v>
      </c>
      <c r="B126">
        <v>125</v>
      </c>
      <c r="C126" t="s">
        <v>506</v>
      </c>
      <c r="D126" s="64">
        <f>VLOOKUP(C126,'CHAS - Cook Co'!$C$1:$J$2762,2,FALSE) - VLOOKUP(C126,'CHAS - Chicago'!$C$1:$J$2762,2,FALSE)</f>
        <v>0</v>
      </c>
      <c r="E126" t="s">
        <v>373</v>
      </c>
      <c r="F126" s="71" t="s">
        <v>367</v>
      </c>
      <c r="G126" s="71" t="s">
        <v>466</v>
      </c>
      <c r="H126" s="71" t="s">
        <v>415</v>
      </c>
      <c r="I126" s="71" t="s">
        <v>386</v>
      </c>
    </row>
    <row r="127" spans="1:9" x14ac:dyDescent="0.35">
      <c r="A127">
        <v>1</v>
      </c>
      <c r="B127">
        <v>126</v>
      </c>
      <c r="C127" t="s">
        <v>507</v>
      </c>
      <c r="D127" s="64">
        <f>VLOOKUP(C127,'CHAS - Cook Co'!$C$1:$J$2762,2,FALSE) - VLOOKUP(C127,'CHAS - Chicago'!$C$1:$J$2762,2,FALSE)</f>
        <v>263750</v>
      </c>
      <c r="E127" t="s">
        <v>366</v>
      </c>
      <c r="F127" s="71" t="s">
        <v>508</v>
      </c>
      <c r="G127" s="71" t="s">
        <v>362</v>
      </c>
      <c r="H127" s="71" t="s">
        <v>363</v>
      </c>
      <c r="I127" s="71" t="s">
        <v>364</v>
      </c>
    </row>
    <row r="128" spans="1:9" ht="87" x14ac:dyDescent="0.35">
      <c r="A128">
        <v>1</v>
      </c>
      <c r="B128">
        <v>127</v>
      </c>
      <c r="C128" t="s">
        <v>509</v>
      </c>
      <c r="D128" s="64">
        <f>VLOOKUP(C128,'CHAS - Cook Co'!$C$1:$J$2762,2,FALSE) - VLOOKUP(C128,'CHAS - Chicago'!$C$1:$J$2762,2,FALSE)</f>
        <v>130520</v>
      </c>
      <c r="E128" t="s">
        <v>366</v>
      </c>
      <c r="F128" s="71" t="s">
        <v>508</v>
      </c>
      <c r="G128" s="71" t="s">
        <v>369</v>
      </c>
      <c r="H128" s="71" t="s">
        <v>363</v>
      </c>
      <c r="I128" s="71" t="s">
        <v>364</v>
      </c>
    </row>
    <row r="129" spans="1:9" ht="87" x14ac:dyDescent="0.35">
      <c r="A129">
        <v>1</v>
      </c>
      <c r="B129">
        <v>128</v>
      </c>
      <c r="C129" t="s">
        <v>510</v>
      </c>
      <c r="D129" s="64">
        <f>VLOOKUP(C129,'CHAS - Cook Co'!$C$1:$J$2762,2,FALSE) - VLOOKUP(C129,'CHAS - Chicago'!$C$1:$J$2762,2,FALSE)</f>
        <v>56390</v>
      </c>
      <c r="E129" t="s">
        <v>366</v>
      </c>
      <c r="F129" s="71" t="s">
        <v>508</v>
      </c>
      <c r="G129" s="71" t="s">
        <v>369</v>
      </c>
      <c r="H129" s="71" t="s">
        <v>371</v>
      </c>
      <c r="I129" s="71" t="s">
        <v>364</v>
      </c>
    </row>
    <row r="130" spans="1:9" ht="87" x14ac:dyDescent="0.35">
      <c r="A130">
        <v>1</v>
      </c>
      <c r="B130">
        <v>129</v>
      </c>
      <c r="C130" t="s">
        <v>511</v>
      </c>
      <c r="D130" s="64">
        <f>VLOOKUP(C130,'CHAS - Cook Co'!$C$1:$J$2762,2,FALSE) - VLOOKUP(C130,'CHAS - Chicago'!$C$1:$J$2762,2,FALSE)</f>
        <v>20340</v>
      </c>
      <c r="E130" t="s">
        <v>373</v>
      </c>
      <c r="F130" s="71" t="s">
        <v>508</v>
      </c>
      <c r="G130" s="71" t="s">
        <v>369</v>
      </c>
      <c r="H130" s="71" t="s">
        <v>371</v>
      </c>
      <c r="I130" s="71" t="s">
        <v>374</v>
      </c>
    </row>
    <row r="131" spans="1:9" ht="87" x14ac:dyDescent="0.35">
      <c r="A131">
        <v>1</v>
      </c>
      <c r="B131">
        <v>130</v>
      </c>
      <c r="C131" t="s">
        <v>512</v>
      </c>
      <c r="D131" s="64">
        <f>VLOOKUP(C131,'CHAS - Cook Co'!$C$1:$J$2762,2,FALSE) - VLOOKUP(C131,'CHAS - Chicago'!$C$1:$J$2762,2,FALSE)</f>
        <v>19710</v>
      </c>
      <c r="E131" t="s">
        <v>373</v>
      </c>
      <c r="F131" s="71" t="s">
        <v>508</v>
      </c>
      <c r="G131" s="71" t="s">
        <v>369</v>
      </c>
      <c r="H131" s="71" t="s">
        <v>371</v>
      </c>
      <c r="I131" s="71" t="s">
        <v>376</v>
      </c>
    </row>
    <row r="132" spans="1:9" ht="87" x14ac:dyDescent="0.35">
      <c r="A132">
        <v>1</v>
      </c>
      <c r="B132">
        <v>131</v>
      </c>
      <c r="C132" t="s">
        <v>513</v>
      </c>
      <c r="D132" s="64">
        <f>VLOOKUP(C132,'CHAS - Cook Co'!$C$1:$J$2762,2,FALSE) - VLOOKUP(C132,'CHAS - Chicago'!$C$1:$J$2762,2,FALSE)</f>
        <v>2860</v>
      </c>
      <c r="E132" t="s">
        <v>373</v>
      </c>
      <c r="F132" s="71" t="s">
        <v>508</v>
      </c>
      <c r="G132" s="71" t="s">
        <v>369</v>
      </c>
      <c r="H132" s="71" t="s">
        <v>371</v>
      </c>
      <c r="I132" s="71" t="s">
        <v>378</v>
      </c>
    </row>
    <row r="133" spans="1:9" ht="87" x14ac:dyDescent="0.35">
      <c r="A133">
        <v>1</v>
      </c>
      <c r="B133">
        <v>132</v>
      </c>
      <c r="C133" t="s">
        <v>514</v>
      </c>
      <c r="D133" s="64">
        <f>VLOOKUP(C133,'CHAS - Cook Co'!$C$1:$J$2762,2,FALSE) - VLOOKUP(C133,'CHAS - Chicago'!$C$1:$J$2762,2,FALSE)</f>
        <v>145</v>
      </c>
      <c r="E133" t="s">
        <v>373</v>
      </c>
      <c r="F133" s="71" t="s">
        <v>508</v>
      </c>
      <c r="G133" s="71" t="s">
        <v>369</v>
      </c>
      <c r="H133" s="71" t="s">
        <v>371</v>
      </c>
      <c r="I133" s="71" t="s">
        <v>380</v>
      </c>
    </row>
    <row r="134" spans="1:9" ht="87" x14ac:dyDescent="0.35">
      <c r="A134">
        <v>1</v>
      </c>
      <c r="B134">
        <v>133</v>
      </c>
      <c r="C134" t="s">
        <v>515</v>
      </c>
      <c r="D134" s="64">
        <f>VLOOKUP(C134,'CHAS - Cook Co'!$C$1:$J$2762,2,FALSE) - VLOOKUP(C134,'CHAS - Chicago'!$C$1:$J$2762,2,FALSE)</f>
        <v>0</v>
      </c>
      <c r="E134" t="s">
        <v>373</v>
      </c>
      <c r="F134" s="71" t="s">
        <v>508</v>
      </c>
      <c r="G134" s="71" t="s">
        <v>369</v>
      </c>
      <c r="H134" s="71" t="s">
        <v>371</v>
      </c>
      <c r="I134" s="71" t="s">
        <v>382</v>
      </c>
    </row>
    <row r="135" spans="1:9" ht="87" x14ac:dyDescent="0.35">
      <c r="A135">
        <v>1</v>
      </c>
      <c r="B135">
        <v>134</v>
      </c>
      <c r="C135" t="s">
        <v>516</v>
      </c>
      <c r="D135" s="64">
        <f>VLOOKUP(C135,'CHAS - Cook Co'!$C$1:$J$2762,2,FALSE) - VLOOKUP(C135,'CHAS - Chicago'!$C$1:$J$2762,2,FALSE)</f>
        <v>12350</v>
      </c>
      <c r="E135" t="s">
        <v>373</v>
      </c>
      <c r="F135" s="71" t="s">
        <v>508</v>
      </c>
      <c r="G135" s="71" t="s">
        <v>369</v>
      </c>
      <c r="H135" s="71" t="s">
        <v>371</v>
      </c>
      <c r="I135" s="71" t="s">
        <v>384</v>
      </c>
    </row>
    <row r="136" spans="1:9" ht="87" x14ac:dyDescent="0.35">
      <c r="A136">
        <v>1</v>
      </c>
      <c r="B136">
        <v>135</v>
      </c>
      <c r="C136" t="s">
        <v>517</v>
      </c>
      <c r="D136" s="64">
        <f>VLOOKUP(C136,'CHAS - Cook Co'!$C$1:$J$2762,2,FALSE) - VLOOKUP(C136,'CHAS - Chicago'!$C$1:$J$2762,2,FALSE)</f>
        <v>980</v>
      </c>
      <c r="E136" t="s">
        <v>373</v>
      </c>
      <c r="F136" s="71" t="s">
        <v>508</v>
      </c>
      <c r="G136" s="71" t="s">
        <v>369</v>
      </c>
      <c r="H136" s="71" t="s">
        <v>371</v>
      </c>
      <c r="I136" s="71" t="s">
        <v>386</v>
      </c>
    </row>
    <row r="137" spans="1:9" ht="87" x14ac:dyDescent="0.35">
      <c r="A137">
        <v>1</v>
      </c>
      <c r="B137">
        <v>136</v>
      </c>
      <c r="C137" t="s">
        <v>518</v>
      </c>
      <c r="D137" s="64">
        <f>VLOOKUP(C137,'CHAS - Cook Co'!$C$1:$J$2762,2,FALSE) - VLOOKUP(C137,'CHAS - Chicago'!$C$1:$J$2762,2,FALSE)</f>
        <v>41335</v>
      </c>
      <c r="E137" t="s">
        <v>366</v>
      </c>
      <c r="F137" s="71" t="s">
        <v>508</v>
      </c>
      <c r="G137" s="71" t="s">
        <v>369</v>
      </c>
      <c r="H137" s="71" t="s">
        <v>388</v>
      </c>
      <c r="I137" s="71" t="s">
        <v>364</v>
      </c>
    </row>
    <row r="138" spans="1:9" ht="87" x14ac:dyDescent="0.35">
      <c r="A138">
        <v>1</v>
      </c>
      <c r="B138">
        <v>137</v>
      </c>
      <c r="C138" t="s">
        <v>519</v>
      </c>
      <c r="D138" s="64">
        <f>VLOOKUP(C138,'CHAS - Cook Co'!$C$1:$J$2762,2,FALSE) - VLOOKUP(C138,'CHAS - Chicago'!$C$1:$J$2762,2,FALSE)</f>
        <v>16110</v>
      </c>
      <c r="E138" t="s">
        <v>373</v>
      </c>
      <c r="F138" s="71" t="s">
        <v>508</v>
      </c>
      <c r="G138" s="71" t="s">
        <v>369</v>
      </c>
      <c r="H138" s="71" t="s">
        <v>388</v>
      </c>
      <c r="I138" s="71" t="s">
        <v>374</v>
      </c>
    </row>
    <row r="139" spans="1:9" ht="87" x14ac:dyDescent="0.35">
      <c r="A139">
        <v>1</v>
      </c>
      <c r="B139">
        <v>138</v>
      </c>
      <c r="C139" t="s">
        <v>520</v>
      </c>
      <c r="D139" s="64">
        <f>VLOOKUP(C139,'CHAS - Cook Co'!$C$1:$J$2762,2,FALSE) - VLOOKUP(C139,'CHAS - Chicago'!$C$1:$J$2762,2,FALSE)</f>
        <v>11190</v>
      </c>
      <c r="E139" t="s">
        <v>373</v>
      </c>
      <c r="F139" s="71" t="s">
        <v>508</v>
      </c>
      <c r="G139" s="71" t="s">
        <v>369</v>
      </c>
      <c r="H139" s="71" t="s">
        <v>388</v>
      </c>
      <c r="I139" s="71" t="s">
        <v>376</v>
      </c>
    </row>
    <row r="140" spans="1:9" ht="87" x14ac:dyDescent="0.35">
      <c r="A140">
        <v>1</v>
      </c>
      <c r="B140">
        <v>139</v>
      </c>
      <c r="C140" t="s">
        <v>521</v>
      </c>
      <c r="D140" s="64">
        <f>VLOOKUP(C140,'CHAS - Cook Co'!$C$1:$J$2762,2,FALSE) - VLOOKUP(C140,'CHAS - Chicago'!$C$1:$J$2762,2,FALSE)</f>
        <v>2355</v>
      </c>
      <c r="E140" t="s">
        <v>373</v>
      </c>
      <c r="F140" s="71" t="s">
        <v>508</v>
      </c>
      <c r="G140" s="71" t="s">
        <v>369</v>
      </c>
      <c r="H140" s="71" t="s">
        <v>388</v>
      </c>
      <c r="I140" s="71" t="s">
        <v>378</v>
      </c>
    </row>
    <row r="141" spans="1:9" ht="87" x14ac:dyDescent="0.35">
      <c r="A141">
        <v>1</v>
      </c>
      <c r="B141">
        <v>140</v>
      </c>
      <c r="C141" t="s">
        <v>522</v>
      </c>
      <c r="D141" s="64">
        <f>VLOOKUP(C141,'CHAS - Cook Co'!$C$1:$J$2762,2,FALSE) - VLOOKUP(C141,'CHAS - Chicago'!$C$1:$J$2762,2,FALSE)</f>
        <v>25</v>
      </c>
      <c r="E141" t="s">
        <v>373</v>
      </c>
      <c r="F141" s="71" t="s">
        <v>508</v>
      </c>
      <c r="G141" s="71" t="s">
        <v>369</v>
      </c>
      <c r="H141" s="71" t="s">
        <v>388</v>
      </c>
      <c r="I141" s="71" t="s">
        <v>380</v>
      </c>
    </row>
    <row r="142" spans="1:9" ht="87" x14ac:dyDescent="0.35">
      <c r="A142">
        <v>1</v>
      </c>
      <c r="B142">
        <v>141</v>
      </c>
      <c r="C142" t="s">
        <v>523</v>
      </c>
      <c r="D142" s="64">
        <f>VLOOKUP(C142,'CHAS - Cook Co'!$C$1:$J$2762,2,FALSE) - VLOOKUP(C142,'CHAS - Chicago'!$C$1:$J$2762,2,FALSE)</f>
        <v>45</v>
      </c>
      <c r="E142" t="s">
        <v>373</v>
      </c>
      <c r="F142" s="71" t="s">
        <v>508</v>
      </c>
      <c r="G142" s="71" t="s">
        <v>369</v>
      </c>
      <c r="H142" s="71" t="s">
        <v>388</v>
      </c>
      <c r="I142" s="71" t="s">
        <v>382</v>
      </c>
    </row>
    <row r="143" spans="1:9" ht="87" x14ac:dyDescent="0.35">
      <c r="A143">
        <v>1</v>
      </c>
      <c r="B143">
        <v>142</v>
      </c>
      <c r="C143" t="s">
        <v>524</v>
      </c>
      <c r="D143" s="64">
        <f>VLOOKUP(C143,'CHAS - Cook Co'!$C$1:$J$2762,2,FALSE) - VLOOKUP(C143,'CHAS - Chicago'!$C$1:$J$2762,2,FALSE)</f>
        <v>10985</v>
      </c>
      <c r="E143" t="s">
        <v>373</v>
      </c>
      <c r="F143" s="71" t="s">
        <v>508</v>
      </c>
      <c r="G143" s="71" t="s">
        <v>369</v>
      </c>
      <c r="H143" s="71" t="s">
        <v>388</v>
      </c>
      <c r="I143" s="71" t="s">
        <v>384</v>
      </c>
    </row>
    <row r="144" spans="1:9" ht="87" x14ac:dyDescent="0.35">
      <c r="A144">
        <v>1</v>
      </c>
      <c r="B144">
        <v>143</v>
      </c>
      <c r="C144" t="s">
        <v>525</v>
      </c>
      <c r="D144" s="64">
        <f>VLOOKUP(C144,'CHAS - Cook Co'!$C$1:$J$2762,2,FALSE) - VLOOKUP(C144,'CHAS - Chicago'!$C$1:$J$2762,2,FALSE)</f>
        <v>630</v>
      </c>
      <c r="E144" t="s">
        <v>373</v>
      </c>
      <c r="F144" s="71" t="s">
        <v>508</v>
      </c>
      <c r="G144" s="71" t="s">
        <v>369</v>
      </c>
      <c r="H144" s="71" t="s">
        <v>388</v>
      </c>
      <c r="I144" s="71" t="s">
        <v>386</v>
      </c>
    </row>
    <row r="145" spans="1:9" ht="87" x14ac:dyDescent="0.35">
      <c r="A145">
        <v>1</v>
      </c>
      <c r="B145">
        <v>144</v>
      </c>
      <c r="C145" t="s">
        <v>526</v>
      </c>
      <c r="D145" s="64">
        <f>VLOOKUP(C145,'CHAS - Cook Co'!$C$1:$J$2762,2,FALSE) - VLOOKUP(C145,'CHAS - Chicago'!$C$1:$J$2762,2,FALSE)</f>
        <v>23050</v>
      </c>
      <c r="E145" t="s">
        <v>366</v>
      </c>
      <c r="F145" s="71" t="s">
        <v>508</v>
      </c>
      <c r="G145" s="71" t="s">
        <v>369</v>
      </c>
      <c r="H145" s="71" t="s">
        <v>397</v>
      </c>
      <c r="I145" s="71" t="s">
        <v>364</v>
      </c>
    </row>
    <row r="146" spans="1:9" ht="87" x14ac:dyDescent="0.35">
      <c r="A146">
        <v>1</v>
      </c>
      <c r="B146">
        <v>145</v>
      </c>
      <c r="C146" t="s">
        <v>527</v>
      </c>
      <c r="D146" s="64">
        <f>VLOOKUP(C146,'CHAS - Cook Co'!$C$1:$J$2762,2,FALSE) - VLOOKUP(C146,'CHAS - Chicago'!$C$1:$J$2762,2,FALSE)</f>
        <v>10650</v>
      </c>
      <c r="E146" t="s">
        <v>373</v>
      </c>
      <c r="F146" s="71" t="s">
        <v>508</v>
      </c>
      <c r="G146" s="71" t="s">
        <v>369</v>
      </c>
      <c r="H146" s="71" t="s">
        <v>397</v>
      </c>
      <c r="I146" s="71" t="s">
        <v>374</v>
      </c>
    </row>
    <row r="147" spans="1:9" ht="87" x14ac:dyDescent="0.35">
      <c r="A147">
        <v>1</v>
      </c>
      <c r="B147">
        <v>146</v>
      </c>
      <c r="C147" t="s">
        <v>528</v>
      </c>
      <c r="D147" s="64">
        <f>VLOOKUP(C147,'CHAS - Cook Co'!$C$1:$J$2762,2,FALSE) - VLOOKUP(C147,'CHAS - Chicago'!$C$1:$J$2762,2,FALSE)</f>
        <v>5135</v>
      </c>
      <c r="E147" t="s">
        <v>373</v>
      </c>
      <c r="F147" s="71" t="s">
        <v>508</v>
      </c>
      <c r="G147" s="71" t="s">
        <v>369</v>
      </c>
      <c r="H147" s="71" t="s">
        <v>397</v>
      </c>
      <c r="I147" s="71" t="s">
        <v>376</v>
      </c>
    </row>
    <row r="148" spans="1:9" ht="87" x14ac:dyDescent="0.35">
      <c r="A148">
        <v>1</v>
      </c>
      <c r="B148">
        <v>147</v>
      </c>
      <c r="C148" t="s">
        <v>529</v>
      </c>
      <c r="D148" s="64">
        <f>VLOOKUP(C148,'CHAS - Cook Co'!$C$1:$J$2762,2,FALSE) - VLOOKUP(C148,'CHAS - Chicago'!$C$1:$J$2762,2,FALSE)</f>
        <v>1690</v>
      </c>
      <c r="E148" t="s">
        <v>373</v>
      </c>
      <c r="F148" s="71" t="s">
        <v>508</v>
      </c>
      <c r="G148" s="71" t="s">
        <v>369</v>
      </c>
      <c r="H148" s="71" t="s">
        <v>397</v>
      </c>
      <c r="I148" s="71" t="s">
        <v>378</v>
      </c>
    </row>
    <row r="149" spans="1:9" ht="87" x14ac:dyDescent="0.35">
      <c r="A149">
        <v>1</v>
      </c>
      <c r="B149">
        <v>148</v>
      </c>
      <c r="C149" t="s">
        <v>530</v>
      </c>
      <c r="D149" s="64">
        <f>VLOOKUP(C149,'CHAS - Cook Co'!$C$1:$J$2762,2,FALSE) - VLOOKUP(C149,'CHAS - Chicago'!$C$1:$J$2762,2,FALSE)</f>
        <v>80</v>
      </c>
      <c r="E149" t="s">
        <v>373</v>
      </c>
      <c r="F149" s="71" t="s">
        <v>508</v>
      </c>
      <c r="G149" s="71" t="s">
        <v>369</v>
      </c>
      <c r="H149" s="71" t="s">
        <v>397</v>
      </c>
      <c r="I149" s="71" t="s">
        <v>380</v>
      </c>
    </row>
    <row r="150" spans="1:9" ht="87" x14ac:dyDescent="0.35">
      <c r="A150">
        <v>1</v>
      </c>
      <c r="B150">
        <v>149</v>
      </c>
      <c r="C150" t="s">
        <v>531</v>
      </c>
      <c r="D150" s="64">
        <f>VLOOKUP(C150,'CHAS - Cook Co'!$C$1:$J$2762,2,FALSE) - VLOOKUP(C150,'CHAS - Chicago'!$C$1:$J$2762,2,FALSE)</f>
        <v>0</v>
      </c>
      <c r="E150" t="s">
        <v>373</v>
      </c>
      <c r="F150" s="71" t="s">
        <v>508</v>
      </c>
      <c r="G150" s="71" t="s">
        <v>369</v>
      </c>
      <c r="H150" s="71" t="s">
        <v>397</v>
      </c>
      <c r="I150" s="71" t="s">
        <v>382</v>
      </c>
    </row>
    <row r="151" spans="1:9" ht="87" x14ac:dyDescent="0.35">
      <c r="A151">
        <v>1</v>
      </c>
      <c r="B151">
        <v>150</v>
      </c>
      <c r="C151" t="s">
        <v>532</v>
      </c>
      <c r="D151" s="64">
        <f>VLOOKUP(C151,'CHAS - Cook Co'!$C$1:$J$2762,2,FALSE) - VLOOKUP(C151,'CHAS - Chicago'!$C$1:$J$2762,2,FALSE)</f>
        <v>5080</v>
      </c>
      <c r="E151" t="s">
        <v>373</v>
      </c>
      <c r="F151" s="71" t="s">
        <v>508</v>
      </c>
      <c r="G151" s="71" t="s">
        <v>369</v>
      </c>
      <c r="H151" s="71" t="s">
        <v>397</v>
      </c>
      <c r="I151" s="71" t="s">
        <v>384</v>
      </c>
    </row>
    <row r="152" spans="1:9" ht="87" x14ac:dyDescent="0.35">
      <c r="A152">
        <v>1</v>
      </c>
      <c r="B152">
        <v>151</v>
      </c>
      <c r="C152" t="s">
        <v>533</v>
      </c>
      <c r="D152" s="64">
        <f>VLOOKUP(C152,'CHAS - Cook Co'!$C$1:$J$2762,2,FALSE) - VLOOKUP(C152,'CHAS - Chicago'!$C$1:$J$2762,2,FALSE)</f>
        <v>405</v>
      </c>
      <c r="E152" t="s">
        <v>373</v>
      </c>
      <c r="F152" s="71" t="s">
        <v>508</v>
      </c>
      <c r="G152" s="71" t="s">
        <v>369</v>
      </c>
      <c r="H152" s="71" t="s">
        <v>397</v>
      </c>
      <c r="I152" s="71" t="s">
        <v>386</v>
      </c>
    </row>
    <row r="153" spans="1:9" ht="87" x14ac:dyDescent="0.35">
      <c r="A153">
        <v>1</v>
      </c>
      <c r="B153">
        <v>152</v>
      </c>
      <c r="C153" t="s">
        <v>534</v>
      </c>
      <c r="D153" s="64">
        <f>VLOOKUP(C153,'CHAS - Cook Co'!$C$1:$J$2762,2,FALSE) - VLOOKUP(C153,'CHAS - Chicago'!$C$1:$J$2762,2,FALSE)</f>
        <v>4865</v>
      </c>
      <c r="E153" t="s">
        <v>366</v>
      </c>
      <c r="F153" s="71" t="s">
        <v>508</v>
      </c>
      <c r="G153" s="71" t="s">
        <v>369</v>
      </c>
      <c r="H153" s="71" t="s">
        <v>406</v>
      </c>
      <c r="I153" s="71" t="s">
        <v>364</v>
      </c>
    </row>
    <row r="154" spans="1:9" ht="87" x14ac:dyDescent="0.35">
      <c r="A154">
        <v>1</v>
      </c>
      <c r="B154">
        <v>153</v>
      </c>
      <c r="C154" t="s">
        <v>535</v>
      </c>
      <c r="D154" s="64">
        <f>VLOOKUP(C154,'CHAS - Cook Co'!$C$1:$J$2762,2,FALSE) - VLOOKUP(C154,'CHAS - Chicago'!$C$1:$J$2762,2,FALSE)</f>
        <v>2765</v>
      </c>
      <c r="E154" t="s">
        <v>373</v>
      </c>
      <c r="F154" s="71" t="s">
        <v>508</v>
      </c>
      <c r="G154" s="71" t="s">
        <v>369</v>
      </c>
      <c r="H154" s="71" t="s">
        <v>406</v>
      </c>
      <c r="I154" s="71" t="s">
        <v>374</v>
      </c>
    </row>
    <row r="155" spans="1:9" ht="87" x14ac:dyDescent="0.35">
      <c r="A155">
        <v>1</v>
      </c>
      <c r="B155">
        <v>154</v>
      </c>
      <c r="C155" t="s">
        <v>536</v>
      </c>
      <c r="D155" s="64">
        <f>VLOOKUP(C155,'CHAS - Cook Co'!$C$1:$J$2762,2,FALSE) - VLOOKUP(C155,'CHAS - Chicago'!$C$1:$J$2762,2,FALSE)</f>
        <v>730</v>
      </c>
      <c r="E155" t="s">
        <v>373</v>
      </c>
      <c r="F155" s="71" t="s">
        <v>508</v>
      </c>
      <c r="G155" s="71" t="s">
        <v>369</v>
      </c>
      <c r="H155" s="71" t="s">
        <v>406</v>
      </c>
      <c r="I155" s="71" t="s">
        <v>376</v>
      </c>
    </row>
    <row r="156" spans="1:9" ht="87" x14ac:dyDescent="0.35">
      <c r="A156">
        <v>1</v>
      </c>
      <c r="B156">
        <v>155</v>
      </c>
      <c r="C156" t="s">
        <v>537</v>
      </c>
      <c r="D156" s="64">
        <f>VLOOKUP(C156,'CHAS - Cook Co'!$C$1:$J$2762,2,FALSE) - VLOOKUP(C156,'CHAS - Chicago'!$C$1:$J$2762,2,FALSE)</f>
        <v>565</v>
      </c>
      <c r="E156" t="s">
        <v>373</v>
      </c>
      <c r="F156" s="71" t="s">
        <v>508</v>
      </c>
      <c r="G156" s="71" t="s">
        <v>369</v>
      </c>
      <c r="H156" s="71" t="s">
        <v>406</v>
      </c>
      <c r="I156" s="71" t="s">
        <v>378</v>
      </c>
    </row>
    <row r="157" spans="1:9" ht="87" x14ac:dyDescent="0.35">
      <c r="A157">
        <v>1</v>
      </c>
      <c r="B157">
        <v>156</v>
      </c>
      <c r="C157" t="s">
        <v>538</v>
      </c>
      <c r="D157" s="64">
        <f>VLOOKUP(C157,'CHAS - Cook Co'!$C$1:$J$2762,2,FALSE) - VLOOKUP(C157,'CHAS - Chicago'!$C$1:$J$2762,2,FALSE)</f>
        <v>0</v>
      </c>
      <c r="E157" t="s">
        <v>373</v>
      </c>
      <c r="F157" s="71" t="s">
        <v>508</v>
      </c>
      <c r="G157" s="71" t="s">
        <v>369</v>
      </c>
      <c r="H157" s="71" t="s">
        <v>406</v>
      </c>
      <c r="I157" s="71" t="s">
        <v>380</v>
      </c>
    </row>
    <row r="158" spans="1:9" ht="87" x14ac:dyDescent="0.35">
      <c r="A158">
        <v>1</v>
      </c>
      <c r="B158">
        <v>157</v>
      </c>
      <c r="C158" t="s">
        <v>539</v>
      </c>
      <c r="D158" s="64">
        <f>VLOOKUP(C158,'CHAS - Cook Co'!$C$1:$J$2762,2,FALSE) - VLOOKUP(C158,'CHAS - Chicago'!$C$1:$J$2762,2,FALSE)</f>
        <v>0</v>
      </c>
      <c r="E158" t="s">
        <v>373</v>
      </c>
      <c r="F158" s="71" t="s">
        <v>508</v>
      </c>
      <c r="G158" s="71" t="s">
        <v>369</v>
      </c>
      <c r="H158" s="71" t="s">
        <v>406</v>
      </c>
      <c r="I158" s="71" t="s">
        <v>382</v>
      </c>
    </row>
    <row r="159" spans="1:9" ht="87" x14ac:dyDescent="0.35">
      <c r="A159">
        <v>1</v>
      </c>
      <c r="B159">
        <v>158</v>
      </c>
      <c r="C159" t="s">
        <v>540</v>
      </c>
      <c r="D159" s="64">
        <f>VLOOKUP(C159,'CHAS - Cook Co'!$C$1:$J$2762,2,FALSE) - VLOOKUP(C159,'CHAS - Chicago'!$C$1:$J$2762,2,FALSE)</f>
        <v>760</v>
      </c>
      <c r="E159" t="s">
        <v>373</v>
      </c>
      <c r="F159" s="71" t="s">
        <v>508</v>
      </c>
      <c r="G159" s="71" t="s">
        <v>369</v>
      </c>
      <c r="H159" s="71" t="s">
        <v>406</v>
      </c>
      <c r="I159" s="71" t="s">
        <v>384</v>
      </c>
    </row>
    <row r="160" spans="1:9" ht="87" x14ac:dyDescent="0.35">
      <c r="A160">
        <v>1</v>
      </c>
      <c r="B160">
        <v>159</v>
      </c>
      <c r="C160" t="s">
        <v>541</v>
      </c>
      <c r="D160" s="64">
        <f>VLOOKUP(C160,'CHAS - Cook Co'!$C$1:$J$2762,2,FALSE) - VLOOKUP(C160,'CHAS - Chicago'!$C$1:$J$2762,2,FALSE)</f>
        <v>45</v>
      </c>
      <c r="E160" t="s">
        <v>373</v>
      </c>
      <c r="F160" s="71" t="s">
        <v>508</v>
      </c>
      <c r="G160" s="71" t="s">
        <v>369</v>
      </c>
      <c r="H160" s="71" t="s">
        <v>406</v>
      </c>
      <c r="I160" s="71" t="s">
        <v>386</v>
      </c>
    </row>
    <row r="161" spans="1:9" ht="87" x14ac:dyDescent="0.35">
      <c r="A161">
        <v>1</v>
      </c>
      <c r="B161">
        <v>160</v>
      </c>
      <c r="C161" t="s">
        <v>542</v>
      </c>
      <c r="D161" s="64">
        <f>VLOOKUP(C161,'CHAS - Cook Co'!$C$1:$J$2762,2,FALSE) - VLOOKUP(C161,'CHAS - Chicago'!$C$1:$J$2762,2,FALSE)</f>
        <v>4880</v>
      </c>
      <c r="E161" t="s">
        <v>366</v>
      </c>
      <c r="F161" s="71" t="s">
        <v>508</v>
      </c>
      <c r="G161" s="71" t="s">
        <v>369</v>
      </c>
      <c r="H161" s="71" t="s">
        <v>415</v>
      </c>
      <c r="I161" s="71" t="s">
        <v>364</v>
      </c>
    </row>
    <row r="162" spans="1:9" ht="87" x14ac:dyDescent="0.35">
      <c r="A162">
        <v>1</v>
      </c>
      <c r="B162">
        <v>161</v>
      </c>
      <c r="C162" t="s">
        <v>543</v>
      </c>
      <c r="D162" s="64">
        <f>VLOOKUP(C162,'CHAS - Cook Co'!$C$1:$J$2762,2,FALSE) - VLOOKUP(C162,'CHAS - Chicago'!$C$1:$J$2762,2,FALSE)</f>
        <v>2505</v>
      </c>
      <c r="E162" t="s">
        <v>373</v>
      </c>
      <c r="F162" s="71" t="s">
        <v>508</v>
      </c>
      <c r="G162" s="71" t="s">
        <v>369</v>
      </c>
      <c r="H162" s="71" t="s">
        <v>415</v>
      </c>
      <c r="I162" s="71" t="s">
        <v>374</v>
      </c>
    </row>
    <row r="163" spans="1:9" ht="87" x14ac:dyDescent="0.35">
      <c r="A163">
        <v>1</v>
      </c>
      <c r="B163">
        <v>162</v>
      </c>
      <c r="C163" t="s">
        <v>544</v>
      </c>
      <c r="D163" s="64">
        <f>VLOOKUP(C163,'CHAS - Cook Co'!$C$1:$J$2762,2,FALSE) - VLOOKUP(C163,'CHAS - Chicago'!$C$1:$J$2762,2,FALSE)</f>
        <v>600</v>
      </c>
      <c r="E163" t="s">
        <v>373</v>
      </c>
      <c r="F163" s="71" t="s">
        <v>508</v>
      </c>
      <c r="G163" s="71" t="s">
        <v>369</v>
      </c>
      <c r="H163" s="71" t="s">
        <v>415</v>
      </c>
      <c r="I163" s="71" t="s">
        <v>376</v>
      </c>
    </row>
    <row r="164" spans="1:9" ht="87" x14ac:dyDescent="0.35">
      <c r="A164">
        <v>1</v>
      </c>
      <c r="B164">
        <v>163</v>
      </c>
      <c r="C164" t="s">
        <v>545</v>
      </c>
      <c r="D164" s="64">
        <f>VLOOKUP(C164,'CHAS - Cook Co'!$C$1:$J$2762,2,FALSE) - VLOOKUP(C164,'CHAS - Chicago'!$C$1:$J$2762,2,FALSE)</f>
        <v>890</v>
      </c>
      <c r="E164" t="s">
        <v>373</v>
      </c>
      <c r="F164" s="71" t="s">
        <v>508</v>
      </c>
      <c r="G164" s="71" t="s">
        <v>369</v>
      </c>
      <c r="H164" s="71" t="s">
        <v>415</v>
      </c>
      <c r="I164" s="71" t="s">
        <v>378</v>
      </c>
    </row>
    <row r="165" spans="1:9" ht="87" x14ac:dyDescent="0.35">
      <c r="A165">
        <v>1</v>
      </c>
      <c r="B165">
        <v>164</v>
      </c>
      <c r="C165" t="s">
        <v>546</v>
      </c>
      <c r="D165" s="64">
        <f>VLOOKUP(C165,'CHAS - Cook Co'!$C$1:$J$2762,2,FALSE) - VLOOKUP(C165,'CHAS - Chicago'!$C$1:$J$2762,2,FALSE)</f>
        <v>0</v>
      </c>
      <c r="E165" t="s">
        <v>373</v>
      </c>
      <c r="F165" s="71" t="s">
        <v>508</v>
      </c>
      <c r="G165" s="71" t="s">
        <v>369</v>
      </c>
      <c r="H165" s="71" t="s">
        <v>415</v>
      </c>
      <c r="I165" s="71" t="s">
        <v>380</v>
      </c>
    </row>
    <row r="166" spans="1:9" ht="87" x14ac:dyDescent="0.35">
      <c r="A166">
        <v>1</v>
      </c>
      <c r="B166">
        <v>165</v>
      </c>
      <c r="C166" t="s">
        <v>547</v>
      </c>
      <c r="D166" s="64">
        <f>VLOOKUP(C166,'CHAS - Cook Co'!$C$1:$J$2762,2,FALSE) - VLOOKUP(C166,'CHAS - Chicago'!$C$1:$J$2762,2,FALSE)</f>
        <v>0</v>
      </c>
      <c r="E166" t="s">
        <v>373</v>
      </c>
      <c r="F166" s="71" t="s">
        <v>508</v>
      </c>
      <c r="G166" s="71" t="s">
        <v>369</v>
      </c>
      <c r="H166" s="71" t="s">
        <v>415</v>
      </c>
      <c r="I166" s="71" t="s">
        <v>382</v>
      </c>
    </row>
    <row r="167" spans="1:9" ht="87" x14ac:dyDescent="0.35">
      <c r="A167">
        <v>1</v>
      </c>
      <c r="B167">
        <v>166</v>
      </c>
      <c r="C167" t="s">
        <v>548</v>
      </c>
      <c r="D167" s="64">
        <f>VLOOKUP(C167,'CHAS - Cook Co'!$C$1:$J$2762,2,FALSE) - VLOOKUP(C167,'CHAS - Chicago'!$C$1:$J$2762,2,FALSE)</f>
        <v>845</v>
      </c>
      <c r="E167" t="s">
        <v>373</v>
      </c>
      <c r="F167" s="71" t="s">
        <v>508</v>
      </c>
      <c r="G167" s="71" t="s">
        <v>369</v>
      </c>
      <c r="H167" s="71" t="s">
        <v>415</v>
      </c>
      <c r="I167" s="71" t="s">
        <v>384</v>
      </c>
    </row>
    <row r="168" spans="1:9" ht="87" x14ac:dyDescent="0.35">
      <c r="A168">
        <v>1</v>
      </c>
      <c r="B168">
        <v>167</v>
      </c>
      <c r="C168" t="s">
        <v>549</v>
      </c>
      <c r="D168" s="64">
        <f>VLOOKUP(C168,'CHAS - Cook Co'!$C$1:$J$2762,2,FALSE) - VLOOKUP(C168,'CHAS - Chicago'!$C$1:$J$2762,2,FALSE)</f>
        <v>45</v>
      </c>
      <c r="E168" t="s">
        <v>373</v>
      </c>
      <c r="F168" s="71" t="s">
        <v>508</v>
      </c>
      <c r="G168" s="71" t="s">
        <v>369</v>
      </c>
      <c r="H168" s="71" t="s">
        <v>415</v>
      </c>
      <c r="I168" s="71" t="s">
        <v>386</v>
      </c>
    </row>
    <row r="169" spans="1:9" ht="29" x14ac:dyDescent="0.35">
      <c r="A169">
        <v>1</v>
      </c>
      <c r="B169">
        <v>168</v>
      </c>
      <c r="C169" t="s">
        <v>550</v>
      </c>
      <c r="D169" s="64">
        <f>VLOOKUP(C169,'CHAS - Cook Co'!$C$1:$J$2762,2,FALSE) - VLOOKUP(C169,'CHAS - Chicago'!$C$1:$J$2762,2,FALSE)</f>
        <v>124670</v>
      </c>
      <c r="E169" t="s">
        <v>366</v>
      </c>
      <c r="F169" s="71" t="s">
        <v>508</v>
      </c>
      <c r="G169" s="71" t="s">
        <v>424</v>
      </c>
      <c r="H169" s="71" t="s">
        <v>363</v>
      </c>
      <c r="I169" s="71" t="s">
        <v>364</v>
      </c>
    </row>
    <row r="170" spans="1:9" ht="29" x14ac:dyDescent="0.35">
      <c r="A170">
        <v>1</v>
      </c>
      <c r="B170">
        <v>169</v>
      </c>
      <c r="C170" t="s">
        <v>551</v>
      </c>
      <c r="D170" s="64">
        <f>VLOOKUP(C170,'CHAS - Cook Co'!$C$1:$J$2762,2,FALSE) - VLOOKUP(C170,'CHAS - Chicago'!$C$1:$J$2762,2,FALSE)</f>
        <v>6820</v>
      </c>
      <c r="E170" t="s">
        <v>366</v>
      </c>
      <c r="F170" s="71" t="s">
        <v>508</v>
      </c>
      <c r="G170" s="71" t="s">
        <v>424</v>
      </c>
      <c r="H170" s="71" t="s">
        <v>371</v>
      </c>
      <c r="I170" s="71" t="s">
        <v>364</v>
      </c>
    </row>
    <row r="171" spans="1:9" ht="29" x14ac:dyDescent="0.35">
      <c r="A171">
        <v>1</v>
      </c>
      <c r="B171">
        <v>170</v>
      </c>
      <c r="C171" t="s">
        <v>552</v>
      </c>
      <c r="D171" s="64">
        <f>VLOOKUP(C171,'CHAS - Cook Co'!$C$1:$J$2762,2,FALSE) - VLOOKUP(C171,'CHAS - Chicago'!$C$1:$J$2762,2,FALSE)</f>
        <v>3395</v>
      </c>
      <c r="E171" t="s">
        <v>373</v>
      </c>
      <c r="F171" s="71" t="s">
        <v>508</v>
      </c>
      <c r="G171" s="71" t="s">
        <v>424</v>
      </c>
      <c r="H171" s="71" t="s">
        <v>371</v>
      </c>
      <c r="I171" s="71" t="s">
        <v>374</v>
      </c>
    </row>
    <row r="172" spans="1:9" ht="29" x14ac:dyDescent="0.35">
      <c r="A172">
        <v>1</v>
      </c>
      <c r="B172">
        <v>171</v>
      </c>
      <c r="C172" t="s">
        <v>553</v>
      </c>
      <c r="D172" s="64">
        <f>VLOOKUP(C172,'CHAS - Cook Co'!$C$1:$J$2762,2,FALSE) - VLOOKUP(C172,'CHAS - Chicago'!$C$1:$J$2762,2,FALSE)</f>
        <v>2245</v>
      </c>
      <c r="E172" t="s">
        <v>373</v>
      </c>
      <c r="F172" s="71" t="s">
        <v>508</v>
      </c>
      <c r="G172" s="71" t="s">
        <v>424</v>
      </c>
      <c r="H172" s="71" t="s">
        <v>371</v>
      </c>
      <c r="I172" s="71" t="s">
        <v>376</v>
      </c>
    </row>
    <row r="173" spans="1:9" ht="29" x14ac:dyDescent="0.35">
      <c r="A173">
        <v>1</v>
      </c>
      <c r="B173">
        <v>172</v>
      </c>
      <c r="C173" t="s">
        <v>554</v>
      </c>
      <c r="D173" s="64">
        <f>VLOOKUP(C173,'CHAS - Cook Co'!$C$1:$J$2762,2,FALSE) - VLOOKUP(C173,'CHAS - Chicago'!$C$1:$J$2762,2,FALSE)</f>
        <v>445</v>
      </c>
      <c r="E173" t="s">
        <v>373</v>
      </c>
      <c r="F173" s="71" t="s">
        <v>508</v>
      </c>
      <c r="G173" s="71" t="s">
        <v>424</v>
      </c>
      <c r="H173" s="71" t="s">
        <v>371</v>
      </c>
      <c r="I173" s="71" t="s">
        <v>378</v>
      </c>
    </row>
    <row r="174" spans="1:9" ht="29" x14ac:dyDescent="0.35">
      <c r="A174">
        <v>1</v>
      </c>
      <c r="B174">
        <v>173</v>
      </c>
      <c r="C174" t="s">
        <v>555</v>
      </c>
      <c r="D174" s="64">
        <f>VLOOKUP(C174,'CHAS - Cook Co'!$C$1:$J$2762,2,FALSE) - VLOOKUP(C174,'CHAS - Chicago'!$C$1:$J$2762,2,FALSE)</f>
        <v>0</v>
      </c>
      <c r="E174" t="s">
        <v>373</v>
      </c>
      <c r="F174" s="71" t="s">
        <v>508</v>
      </c>
      <c r="G174" s="71" t="s">
        <v>424</v>
      </c>
      <c r="H174" s="71" t="s">
        <v>371</v>
      </c>
      <c r="I174" s="71" t="s">
        <v>380</v>
      </c>
    </row>
    <row r="175" spans="1:9" ht="29" x14ac:dyDescent="0.35">
      <c r="A175">
        <v>1</v>
      </c>
      <c r="B175">
        <v>174</v>
      </c>
      <c r="C175" t="s">
        <v>556</v>
      </c>
      <c r="D175" s="64">
        <f>VLOOKUP(C175,'CHAS - Cook Co'!$C$1:$J$2762,2,FALSE) - VLOOKUP(C175,'CHAS - Chicago'!$C$1:$J$2762,2,FALSE)</f>
        <v>0</v>
      </c>
      <c r="E175" t="s">
        <v>373</v>
      </c>
      <c r="F175" s="71" t="s">
        <v>508</v>
      </c>
      <c r="G175" s="71" t="s">
        <v>424</v>
      </c>
      <c r="H175" s="71" t="s">
        <v>371</v>
      </c>
      <c r="I175" s="71" t="s">
        <v>382</v>
      </c>
    </row>
    <row r="176" spans="1:9" ht="29" x14ac:dyDescent="0.35">
      <c r="A176">
        <v>1</v>
      </c>
      <c r="B176">
        <v>175</v>
      </c>
      <c r="C176" t="s">
        <v>557</v>
      </c>
      <c r="D176" s="64">
        <f>VLOOKUP(C176,'CHAS - Cook Co'!$C$1:$J$2762,2,FALSE) - VLOOKUP(C176,'CHAS - Chicago'!$C$1:$J$2762,2,FALSE)</f>
        <v>665</v>
      </c>
      <c r="E176" t="s">
        <v>373</v>
      </c>
      <c r="F176" s="71" t="s">
        <v>508</v>
      </c>
      <c r="G176" s="71" t="s">
        <v>424</v>
      </c>
      <c r="H176" s="71" t="s">
        <v>371</v>
      </c>
      <c r="I176" s="71" t="s">
        <v>384</v>
      </c>
    </row>
    <row r="177" spans="1:9" ht="29" x14ac:dyDescent="0.35">
      <c r="A177">
        <v>1</v>
      </c>
      <c r="B177">
        <v>176</v>
      </c>
      <c r="C177" t="s">
        <v>558</v>
      </c>
      <c r="D177" s="64">
        <f>VLOOKUP(C177,'CHAS - Cook Co'!$C$1:$J$2762,2,FALSE) - VLOOKUP(C177,'CHAS - Chicago'!$C$1:$J$2762,2,FALSE)</f>
        <v>70</v>
      </c>
      <c r="E177" t="s">
        <v>373</v>
      </c>
      <c r="F177" s="71" t="s">
        <v>508</v>
      </c>
      <c r="G177" s="71" t="s">
        <v>424</v>
      </c>
      <c r="H177" s="71" t="s">
        <v>371</v>
      </c>
      <c r="I177" s="71" t="s">
        <v>386</v>
      </c>
    </row>
    <row r="178" spans="1:9" ht="43.5" x14ac:dyDescent="0.35">
      <c r="A178">
        <v>1</v>
      </c>
      <c r="B178">
        <v>177</v>
      </c>
      <c r="C178" t="s">
        <v>559</v>
      </c>
      <c r="D178" s="64">
        <f>VLOOKUP(C178,'CHAS - Cook Co'!$C$1:$J$2762,2,FALSE) - VLOOKUP(C178,'CHAS - Chicago'!$C$1:$J$2762,2,FALSE)</f>
        <v>7155</v>
      </c>
      <c r="E178" t="s">
        <v>366</v>
      </c>
      <c r="F178" s="71" t="s">
        <v>508</v>
      </c>
      <c r="G178" s="71" t="s">
        <v>424</v>
      </c>
      <c r="H178" s="71" t="s">
        <v>388</v>
      </c>
      <c r="I178" s="71" t="s">
        <v>364</v>
      </c>
    </row>
    <row r="179" spans="1:9" ht="43.5" x14ac:dyDescent="0.35">
      <c r="A179">
        <v>1</v>
      </c>
      <c r="B179">
        <v>178</v>
      </c>
      <c r="C179" t="s">
        <v>560</v>
      </c>
      <c r="D179" s="64">
        <f>VLOOKUP(C179,'CHAS - Cook Co'!$C$1:$J$2762,2,FALSE) - VLOOKUP(C179,'CHAS - Chicago'!$C$1:$J$2762,2,FALSE)</f>
        <v>2890</v>
      </c>
      <c r="E179" t="s">
        <v>373</v>
      </c>
      <c r="F179" s="71" t="s">
        <v>508</v>
      </c>
      <c r="G179" s="71" t="s">
        <v>424</v>
      </c>
      <c r="H179" s="71" t="s">
        <v>388</v>
      </c>
      <c r="I179" s="71" t="s">
        <v>374</v>
      </c>
    </row>
    <row r="180" spans="1:9" ht="43.5" x14ac:dyDescent="0.35">
      <c r="A180">
        <v>1</v>
      </c>
      <c r="B180">
        <v>179</v>
      </c>
      <c r="C180" t="s">
        <v>561</v>
      </c>
      <c r="D180" s="64">
        <f>VLOOKUP(C180,'CHAS - Cook Co'!$C$1:$J$2762,2,FALSE) - VLOOKUP(C180,'CHAS - Chicago'!$C$1:$J$2762,2,FALSE)</f>
        <v>1580</v>
      </c>
      <c r="E180" t="s">
        <v>373</v>
      </c>
      <c r="F180" s="71" t="s">
        <v>508</v>
      </c>
      <c r="G180" s="71" t="s">
        <v>424</v>
      </c>
      <c r="H180" s="71" t="s">
        <v>388</v>
      </c>
      <c r="I180" s="71" t="s">
        <v>376</v>
      </c>
    </row>
    <row r="181" spans="1:9" ht="43.5" x14ac:dyDescent="0.35">
      <c r="A181">
        <v>1</v>
      </c>
      <c r="B181">
        <v>180</v>
      </c>
      <c r="C181" t="s">
        <v>562</v>
      </c>
      <c r="D181" s="64">
        <f>VLOOKUP(C181,'CHAS - Cook Co'!$C$1:$J$2762,2,FALSE) - VLOOKUP(C181,'CHAS - Chicago'!$C$1:$J$2762,2,FALSE)</f>
        <v>310</v>
      </c>
      <c r="E181" t="s">
        <v>373</v>
      </c>
      <c r="F181" s="71" t="s">
        <v>508</v>
      </c>
      <c r="G181" s="71" t="s">
        <v>424</v>
      </c>
      <c r="H181" s="71" t="s">
        <v>388</v>
      </c>
      <c r="I181" s="71" t="s">
        <v>378</v>
      </c>
    </row>
    <row r="182" spans="1:9" ht="43.5" x14ac:dyDescent="0.35">
      <c r="A182">
        <v>1</v>
      </c>
      <c r="B182">
        <v>181</v>
      </c>
      <c r="C182" t="s">
        <v>563</v>
      </c>
      <c r="D182" s="64">
        <f>VLOOKUP(C182,'CHAS - Cook Co'!$C$1:$J$2762,2,FALSE) - VLOOKUP(C182,'CHAS - Chicago'!$C$1:$J$2762,2,FALSE)</f>
        <v>10</v>
      </c>
      <c r="E182" t="s">
        <v>373</v>
      </c>
      <c r="F182" s="71" t="s">
        <v>508</v>
      </c>
      <c r="G182" s="71" t="s">
        <v>424</v>
      </c>
      <c r="H182" s="71" t="s">
        <v>388</v>
      </c>
      <c r="I182" s="71" t="s">
        <v>380</v>
      </c>
    </row>
    <row r="183" spans="1:9" ht="43.5" x14ac:dyDescent="0.35">
      <c r="A183">
        <v>1</v>
      </c>
      <c r="B183">
        <v>182</v>
      </c>
      <c r="C183" t="s">
        <v>564</v>
      </c>
      <c r="D183" s="64">
        <f>VLOOKUP(C183,'CHAS - Cook Co'!$C$1:$J$2762,2,FALSE) - VLOOKUP(C183,'CHAS - Chicago'!$C$1:$J$2762,2,FALSE)</f>
        <v>0</v>
      </c>
      <c r="E183" t="s">
        <v>373</v>
      </c>
      <c r="F183" s="71" t="s">
        <v>508</v>
      </c>
      <c r="G183" s="71" t="s">
        <v>424</v>
      </c>
      <c r="H183" s="71" t="s">
        <v>388</v>
      </c>
      <c r="I183" s="71" t="s">
        <v>382</v>
      </c>
    </row>
    <row r="184" spans="1:9" ht="43.5" x14ac:dyDescent="0.35">
      <c r="A184">
        <v>1</v>
      </c>
      <c r="B184">
        <v>183</v>
      </c>
      <c r="C184" t="s">
        <v>565</v>
      </c>
      <c r="D184" s="64">
        <f>VLOOKUP(C184,'CHAS - Cook Co'!$C$1:$J$2762,2,FALSE) - VLOOKUP(C184,'CHAS - Chicago'!$C$1:$J$2762,2,FALSE)</f>
        <v>2210</v>
      </c>
      <c r="E184" t="s">
        <v>373</v>
      </c>
      <c r="F184" s="71" t="s">
        <v>508</v>
      </c>
      <c r="G184" s="71" t="s">
        <v>424</v>
      </c>
      <c r="H184" s="71" t="s">
        <v>388</v>
      </c>
      <c r="I184" s="71" t="s">
        <v>384</v>
      </c>
    </row>
    <row r="185" spans="1:9" ht="43.5" x14ac:dyDescent="0.35">
      <c r="A185">
        <v>1</v>
      </c>
      <c r="B185">
        <v>184</v>
      </c>
      <c r="C185" t="s">
        <v>566</v>
      </c>
      <c r="D185" s="64">
        <f>VLOOKUP(C185,'CHAS - Cook Co'!$C$1:$J$2762,2,FALSE) - VLOOKUP(C185,'CHAS - Chicago'!$C$1:$J$2762,2,FALSE)</f>
        <v>150</v>
      </c>
      <c r="E185" t="s">
        <v>373</v>
      </c>
      <c r="F185" s="71" t="s">
        <v>508</v>
      </c>
      <c r="G185" s="71" t="s">
        <v>424</v>
      </c>
      <c r="H185" s="71" t="s">
        <v>388</v>
      </c>
      <c r="I185" s="71" t="s">
        <v>386</v>
      </c>
    </row>
    <row r="186" spans="1:9" ht="43.5" x14ac:dyDescent="0.35">
      <c r="A186">
        <v>1</v>
      </c>
      <c r="B186">
        <v>185</v>
      </c>
      <c r="C186" t="s">
        <v>567</v>
      </c>
      <c r="D186" s="64">
        <f>VLOOKUP(C186,'CHAS - Cook Co'!$C$1:$J$2762,2,FALSE) - VLOOKUP(C186,'CHAS - Chicago'!$C$1:$J$2762,2,FALSE)</f>
        <v>30990</v>
      </c>
      <c r="E186" t="s">
        <v>366</v>
      </c>
      <c r="F186" s="71" t="s">
        <v>508</v>
      </c>
      <c r="G186" s="71" t="s">
        <v>424</v>
      </c>
      <c r="H186" s="71" t="s">
        <v>397</v>
      </c>
      <c r="I186" s="71" t="s">
        <v>364</v>
      </c>
    </row>
    <row r="187" spans="1:9" ht="43.5" x14ac:dyDescent="0.35">
      <c r="A187">
        <v>1</v>
      </c>
      <c r="B187">
        <v>186</v>
      </c>
      <c r="C187" t="s">
        <v>568</v>
      </c>
      <c r="D187" s="64">
        <f>VLOOKUP(C187,'CHAS - Cook Co'!$C$1:$J$2762,2,FALSE) - VLOOKUP(C187,'CHAS - Chicago'!$C$1:$J$2762,2,FALSE)</f>
        <v>11700</v>
      </c>
      <c r="E187" t="s">
        <v>373</v>
      </c>
      <c r="F187" s="71" t="s">
        <v>508</v>
      </c>
      <c r="G187" s="71" t="s">
        <v>424</v>
      </c>
      <c r="H187" s="71" t="s">
        <v>397</v>
      </c>
      <c r="I187" s="71" t="s">
        <v>374</v>
      </c>
    </row>
    <row r="188" spans="1:9" ht="43.5" x14ac:dyDescent="0.35">
      <c r="A188">
        <v>1</v>
      </c>
      <c r="B188">
        <v>187</v>
      </c>
      <c r="C188" t="s">
        <v>569</v>
      </c>
      <c r="D188" s="64">
        <f>VLOOKUP(C188,'CHAS - Cook Co'!$C$1:$J$2762,2,FALSE) - VLOOKUP(C188,'CHAS - Chicago'!$C$1:$J$2762,2,FALSE)</f>
        <v>8725</v>
      </c>
      <c r="E188" t="s">
        <v>373</v>
      </c>
      <c r="F188" s="71" t="s">
        <v>508</v>
      </c>
      <c r="G188" s="71" t="s">
        <v>424</v>
      </c>
      <c r="H188" s="71" t="s">
        <v>397</v>
      </c>
      <c r="I188" s="71" t="s">
        <v>376</v>
      </c>
    </row>
    <row r="189" spans="1:9" ht="43.5" x14ac:dyDescent="0.35">
      <c r="A189">
        <v>1</v>
      </c>
      <c r="B189">
        <v>188</v>
      </c>
      <c r="C189" t="s">
        <v>570</v>
      </c>
      <c r="D189" s="64">
        <f>VLOOKUP(C189,'CHAS - Cook Co'!$C$1:$J$2762,2,FALSE) - VLOOKUP(C189,'CHAS - Chicago'!$C$1:$J$2762,2,FALSE)</f>
        <v>1450</v>
      </c>
      <c r="E189" t="s">
        <v>373</v>
      </c>
      <c r="F189" s="71" t="s">
        <v>508</v>
      </c>
      <c r="G189" s="71" t="s">
        <v>424</v>
      </c>
      <c r="H189" s="71" t="s">
        <v>397</v>
      </c>
      <c r="I189" s="71" t="s">
        <v>378</v>
      </c>
    </row>
    <row r="190" spans="1:9" ht="43.5" x14ac:dyDescent="0.35">
      <c r="A190">
        <v>1</v>
      </c>
      <c r="B190">
        <v>189</v>
      </c>
      <c r="C190" t="s">
        <v>571</v>
      </c>
      <c r="D190" s="64">
        <f>VLOOKUP(C190,'CHAS - Cook Co'!$C$1:$J$2762,2,FALSE) - VLOOKUP(C190,'CHAS - Chicago'!$C$1:$J$2762,2,FALSE)</f>
        <v>90</v>
      </c>
      <c r="E190" t="s">
        <v>373</v>
      </c>
      <c r="F190" s="71" t="s">
        <v>508</v>
      </c>
      <c r="G190" s="71" t="s">
        <v>424</v>
      </c>
      <c r="H190" s="71" t="s">
        <v>397</v>
      </c>
      <c r="I190" s="71" t="s">
        <v>380</v>
      </c>
    </row>
    <row r="191" spans="1:9" ht="43.5" x14ac:dyDescent="0.35">
      <c r="A191">
        <v>1</v>
      </c>
      <c r="B191">
        <v>190</v>
      </c>
      <c r="C191" t="s">
        <v>572</v>
      </c>
      <c r="D191" s="64">
        <f>VLOOKUP(C191,'CHAS - Cook Co'!$C$1:$J$2762,2,FALSE) - VLOOKUP(C191,'CHAS - Chicago'!$C$1:$J$2762,2,FALSE)</f>
        <v>0</v>
      </c>
      <c r="E191" t="s">
        <v>373</v>
      </c>
      <c r="F191" s="71" t="s">
        <v>508</v>
      </c>
      <c r="G191" s="71" t="s">
        <v>424</v>
      </c>
      <c r="H191" s="71" t="s">
        <v>397</v>
      </c>
      <c r="I191" s="71" t="s">
        <v>382</v>
      </c>
    </row>
    <row r="192" spans="1:9" ht="43.5" x14ac:dyDescent="0.35">
      <c r="A192">
        <v>1</v>
      </c>
      <c r="B192">
        <v>191</v>
      </c>
      <c r="C192" t="s">
        <v>573</v>
      </c>
      <c r="D192" s="64">
        <f>VLOOKUP(C192,'CHAS - Cook Co'!$C$1:$J$2762,2,FALSE) - VLOOKUP(C192,'CHAS - Chicago'!$C$1:$J$2762,2,FALSE)</f>
        <v>8465</v>
      </c>
      <c r="E192" t="s">
        <v>373</v>
      </c>
      <c r="F192" s="71" t="s">
        <v>508</v>
      </c>
      <c r="G192" s="71" t="s">
        <v>424</v>
      </c>
      <c r="H192" s="71" t="s">
        <v>397</v>
      </c>
      <c r="I192" s="71" t="s">
        <v>384</v>
      </c>
    </row>
    <row r="193" spans="1:9" ht="43.5" x14ac:dyDescent="0.35">
      <c r="A193">
        <v>1</v>
      </c>
      <c r="B193">
        <v>192</v>
      </c>
      <c r="C193" t="s">
        <v>574</v>
      </c>
      <c r="D193" s="64">
        <f>VLOOKUP(C193,'CHAS - Cook Co'!$C$1:$J$2762,2,FALSE) - VLOOKUP(C193,'CHAS - Chicago'!$C$1:$J$2762,2,FALSE)</f>
        <v>560</v>
      </c>
      <c r="E193" t="s">
        <v>373</v>
      </c>
      <c r="F193" s="71" t="s">
        <v>508</v>
      </c>
      <c r="G193" s="71" t="s">
        <v>424</v>
      </c>
      <c r="H193" s="71" t="s">
        <v>397</v>
      </c>
      <c r="I193" s="71" t="s">
        <v>386</v>
      </c>
    </row>
    <row r="194" spans="1:9" ht="43.5" x14ac:dyDescent="0.35">
      <c r="A194">
        <v>1</v>
      </c>
      <c r="B194">
        <v>193</v>
      </c>
      <c r="C194" t="s">
        <v>575</v>
      </c>
      <c r="D194" s="64">
        <f>VLOOKUP(C194,'CHAS - Cook Co'!$C$1:$J$2762,2,FALSE) - VLOOKUP(C194,'CHAS - Chicago'!$C$1:$J$2762,2,FALSE)</f>
        <v>22450</v>
      </c>
      <c r="E194" t="s">
        <v>366</v>
      </c>
      <c r="F194" s="71" t="s">
        <v>508</v>
      </c>
      <c r="G194" s="71" t="s">
        <v>424</v>
      </c>
      <c r="H194" s="71" t="s">
        <v>406</v>
      </c>
      <c r="I194" s="71" t="s">
        <v>364</v>
      </c>
    </row>
    <row r="195" spans="1:9" ht="43.5" x14ac:dyDescent="0.35">
      <c r="A195">
        <v>1</v>
      </c>
      <c r="B195">
        <v>194</v>
      </c>
      <c r="C195" t="s">
        <v>576</v>
      </c>
      <c r="D195" s="64">
        <f>VLOOKUP(C195,'CHAS - Cook Co'!$C$1:$J$2762,2,FALSE) - VLOOKUP(C195,'CHAS - Chicago'!$C$1:$J$2762,2,FALSE)</f>
        <v>10320</v>
      </c>
      <c r="E195" t="s">
        <v>373</v>
      </c>
      <c r="F195" s="71" t="s">
        <v>508</v>
      </c>
      <c r="G195" s="71" t="s">
        <v>424</v>
      </c>
      <c r="H195" s="71" t="s">
        <v>406</v>
      </c>
      <c r="I195" s="71" t="s">
        <v>374</v>
      </c>
    </row>
    <row r="196" spans="1:9" ht="43.5" x14ac:dyDescent="0.35">
      <c r="A196">
        <v>1</v>
      </c>
      <c r="B196">
        <v>195</v>
      </c>
      <c r="C196" t="s">
        <v>577</v>
      </c>
      <c r="D196" s="64">
        <f>VLOOKUP(C196,'CHAS - Cook Co'!$C$1:$J$2762,2,FALSE) - VLOOKUP(C196,'CHAS - Chicago'!$C$1:$J$2762,2,FALSE)</f>
        <v>5055</v>
      </c>
      <c r="E196" t="s">
        <v>373</v>
      </c>
      <c r="F196" s="71" t="s">
        <v>508</v>
      </c>
      <c r="G196" s="71" t="s">
        <v>424</v>
      </c>
      <c r="H196" s="71" t="s">
        <v>406</v>
      </c>
      <c r="I196" s="71" t="s">
        <v>376</v>
      </c>
    </row>
    <row r="197" spans="1:9" ht="43.5" x14ac:dyDescent="0.35">
      <c r="A197">
        <v>1</v>
      </c>
      <c r="B197">
        <v>196</v>
      </c>
      <c r="C197" t="s">
        <v>578</v>
      </c>
      <c r="D197" s="64">
        <f>VLOOKUP(C197,'CHAS - Cook Co'!$C$1:$J$2762,2,FALSE) - VLOOKUP(C197,'CHAS - Chicago'!$C$1:$J$2762,2,FALSE)</f>
        <v>2070</v>
      </c>
      <c r="E197" t="s">
        <v>373</v>
      </c>
      <c r="F197" s="71" t="s">
        <v>508</v>
      </c>
      <c r="G197" s="71" t="s">
        <v>424</v>
      </c>
      <c r="H197" s="71" t="s">
        <v>406</v>
      </c>
      <c r="I197" s="71" t="s">
        <v>378</v>
      </c>
    </row>
    <row r="198" spans="1:9" ht="43.5" x14ac:dyDescent="0.35">
      <c r="A198">
        <v>1</v>
      </c>
      <c r="B198">
        <v>197</v>
      </c>
      <c r="C198" t="s">
        <v>579</v>
      </c>
      <c r="D198" s="64">
        <f>VLOOKUP(C198,'CHAS - Cook Co'!$C$1:$J$2762,2,FALSE) - VLOOKUP(C198,'CHAS - Chicago'!$C$1:$J$2762,2,FALSE)</f>
        <v>0</v>
      </c>
      <c r="E198" t="s">
        <v>373</v>
      </c>
      <c r="F198" s="71" t="s">
        <v>508</v>
      </c>
      <c r="G198" s="71" t="s">
        <v>424</v>
      </c>
      <c r="H198" s="71" t="s">
        <v>406</v>
      </c>
      <c r="I198" s="71" t="s">
        <v>380</v>
      </c>
    </row>
    <row r="199" spans="1:9" ht="43.5" x14ac:dyDescent="0.35">
      <c r="A199">
        <v>1</v>
      </c>
      <c r="B199">
        <v>198</v>
      </c>
      <c r="C199" t="s">
        <v>580</v>
      </c>
      <c r="D199" s="64">
        <f>VLOOKUP(C199,'CHAS - Cook Co'!$C$1:$J$2762,2,FALSE) - VLOOKUP(C199,'CHAS - Chicago'!$C$1:$J$2762,2,FALSE)</f>
        <v>10</v>
      </c>
      <c r="E199" t="s">
        <v>373</v>
      </c>
      <c r="F199" s="71" t="s">
        <v>508</v>
      </c>
      <c r="G199" s="71" t="s">
        <v>424</v>
      </c>
      <c r="H199" s="71" t="s">
        <v>406</v>
      </c>
      <c r="I199" s="71" t="s">
        <v>382</v>
      </c>
    </row>
    <row r="200" spans="1:9" ht="43.5" x14ac:dyDescent="0.35">
      <c r="A200">
        <v>1</v>
      </c>
      <c r="B200">
        <v>199</v>
      </c>
      <c r="C200" t="s">
        <v>581</v>
      </c>
      <c r="D200" s="64">
        <f>VLOOKUP(C200,'CHAS - Cook Co'!$C$1:$J$2762,2,FALSE) - VLOOKUP(C200,'CHAS - Chicago'!$C$1:$J$2762,2,FALSE)</f>
        <v>4715</v>
      </c>
      <c r="E200" t="s">
        <v>373</v>
      </c>
      <c r="F200" s="71" t="s">
        <v>508</v>
      </c>
      <c r="G200" s="71" t="s">
        <v>424</v>
      </c>
      <c r="H200" s="71" t="s">
        <v>406</v>
      </c>
      <c r="I200" s="71" t="s">
        <v>384</v>
      </c>
    </row>
    <row r="201" spans="1:9" ht="43.5" x14ac:dyDescent="0.35">
      <c r="A201">
        <v>1</v>
      </c>
      <c r="B201">
        <v>200</v>
      </c>
      <c r="C201" t="s">
        <v>582</v>
      </c>
      <c r="D201" s="64">
        <f>VLOOKUP(C201,'CHAS - Cook Co'!$C$1:$J$2762,2,FALSE) - VLOOKUP(C201,'CHAS - Chicago'!$C$1:$J$2762,2,FALSE)</f>
        <v>285</v>
      </c>
      <c r="E201" t="s">
        <v>373</v>
      </c>
      <c r="F201" s="71" t="s">
        <v>508</v>
      </c>
      <c r="G201" s="71" t="s">
        <v>424</v>
      </c>
      <c r="H201" s="71" t="s">
        <v>406</v>
      </c>
      <c r="I201" s="71" t="s">
        <v>386</v>
      </c>
    </row>
    <row r="202" spans="1:9" ht="29" x14ac:dyDescent="0.35">
      <c r="A202">
        <v>1</v>
      </c>
      <c r="B202">
        <v>201</v>
      </c>
      <c r="C202" t="s">
        <v>583</v>
      </c>
      <c r="D202" s="64">
        <f>VLOOKUP(C202,'CHAS - Cook Co'!$C$1:$J$2762,2,FALSE) - VLOOKUP(C202,'CHAS - Chicago'!$C$1:$J$2762,2,FALSE)</f>
        <v>57255</v>
      </c>
      <c r="E202" t="s">
        <v>366</v>
      </c>
      <c r="F202" s="71" t="s">
        <v>508</v>
      </c>
      <c r="G202" s="71" t="s">
        <v>424</v>
      </c>
      <c r="H202" s="71" t="s">
        <v>415</v>
      </c>
      <c r="I202" s="71" t="s">
        <v>364</v>
      </c>
    </row>
    <row r="203" spans="1:9" ht="29" x14ac:dyDescent="0.35">
      <c r="A203">
        <v>1</v>
      </c>
      <c r="B203">
        <v>202</v>
      </c>
      <c r="C203" t="s">
        <v>584</v>
      </c>
      <c r="D203" s="64">
        <f>VLOOKUP(C203,'CHAS - Cook Co'!$C$1:$J$2762,2,FALSE) - VLOOKUP(C203,'CHAS - Chicago'!$C$1:$J$2762,2,FALSE)</f>
        <v>30735</v>
      </c>
      <c r="E203" t="s">
        <v>373</v>
      </c>
      <c r="F203" s="71" t="s">
        <v>508</v>
      </c>
      <c r="G203" s="71" t="s">
        <v>424</v>
      </c>
      <c r="H203" s="71" t="s">
        <v>415</v>
      </c>
      <c r="I203" s="71" t="s">
        <v>374</v>
      </c>
    </row>
    <row r="204" spans="1:9" ht="29" x14ac:dyDescent="0.35">
      <c r="A204">
        <v>1</v>
      </c>
      <c r="B204">
        <v>203</v>
      </c>
      <c r="C204" t="s">
        <v>585</v>
      </c>
      <c r="D204" s="64">
        <f>VLOOKUP(C204,'CHAS - Cook Co'!$C$1:$J$2762,2,FALSE) - VLOOKUP(C204,'CHAS - Chicago'!$C$1:$J$2762,2,FALSE)</f>
        <v>10760</v>
      </c>
      <c r="E204" t="s">
        <v>373</v>
      </c>
      <c r="F204" s="71" t="s">
        <v>508</v>
      </c>
      <c r="G204" s="71" t="s">
        <v>424</v>
      </c>
      <c r="H204" s="71" t="s">
        <v>415</v>
      </c>
      <c r="I204" s="71" t="s">
        <v>376</v>
      </c>
    </row>
    <row r="205" spans="1:9" ht="29" x14ac:dyDescent="0.35">
      <c r="A205">
        <v>1</v>
      </c>
      <c r="B205">
        <v>204</v>
      </c>
      <c r="C205" t="s">
        <v>586</v>
      </c>
      <c r="D205" s="64">
        <f>VLOOKUP(C205,'CHAS - Cook Co'!$C$1:$J$2762,2,FALSE) - VLOOKUP(C205,'CHAS - Chicago'!$C$1:$J$2762,2,FALSE)</f>
        <v>8090</v>
      </c>
      <c r="E205" t="s">
        <v>373</v>
      </c>
      <c r="F205" s="71" t="s">
        <v>508</v>
      </c>
      <c r="G205" s="71" t="s">
        <v>424</v>
      </c>
      <c r="H205" s="71" t="s">
        <v>415</v>
      </c>
      <c r="I205" s="71" t="s">
        <v>378</v>
      </c>
    </row>
    <row r="206" spans="1:9" ht="29" x14ac:dyDescent="0.35">
      <c r="A206">
        <v>1</v>
      </c>
      <c r="B206">
        <v>205</v>
      </c>
      <c r="C206" t="s">
        <v>587</v>
      </c>
      <c r="D206" s="64">
        <f>VLOOKUP(C206,'CHAS - Cook Co'!$C$1:$J$2762,2,FALSE) - VLOOKUP(C206,'CHAS - Chicago'!$C$1:$J$2762,2,FALSE)</f>
        <v>0</v>
      </c>
      <c r="E206" t="s">
        <v>373</v>
      </c>
      <c r="F206" s="71" t="s">
        <v>508</v>
      </c>
      <c r="G206" s="71" t="s">
        <v>424</v>
      </c>
      <c r="H206" s="71" t="s">
        <v>415</v>
      </c>
      <c r="I206" s="71" t="s">
        <v>380</v>
      </c>
    </row>
    <row r="207" spans="1:9" ht="29" x14ac:dyDescent="0.35">
      <c r="A207">
        <v>1</v>
      </c>
      <c r="B207">
        <v>206</v>
      </c>
      <c r="C207" t="s">
        <v>588</v>
      </c>
      <c r="D207" s="64">
        <f>VLOOKUP(C207,'CHAS - Cook Co'!$C$1:$J$2762,2,FALSE) - VLOOKUP(C207,'CHAS - Chicago'!$C$1:$J$2762,2,FALSE)</f>
        <v>35</v>
      </c>
      <c r="E207" t="s">
        <v>373</v>
      </c>
      <c r="F207" s="71" t="s">
        <v>508</v>
      </c>
      <c r="G207" s="71" t="s">
        <v>424</v>
      </c>
      <c r="H207" s="71" t="s">
        <v>415</v>
      </c>
      <c r="I207" s="71" t="s">
        <v>382</v>
      </c>
    </row>
    <row r="208" spans="1:9" ht="29" x14ac:dyDescent="0.35">
      <c r="A208">
        <v>1</v>
      </c>
      <c r="B208">
        <v>207</v>
      </c>
      <c r="C208" t="s">
        <v>589</v>
      </c>
      <c r="D208" s="64">
        <f>VLOOKUP(C208,'CHAS - Cook Co'!$C$1:$J$2762,2,FALSE) - VLOOKUP(C208,'CHAS - Chicago'!$C$1:$J$2762,2,FALSE)</f>
        <v>6740</v>
      </c>
      <c r="E208" t="s">
        <v>373</v>
      </c>
      <c r="F208" s="71" t="s">
        <v>508</v>
      </c>
      <c r="G208" s="71" t="s">
        <v>424</v>
      </c>
      <c r="H208" s="71" t="s">
        <v>415</v>
      </c>
      <c r="I208" s="71" t="s">
        <v>384</v>
      </c>
    </row>
    <row r="209" spans="1:9" ht="29" x14ac:dyDescent="0.35">
      <c r="A209">
        <v>1</v>
      </c>
      <c r="B209">
        <v>208</v>
      </c>
      <c r="C209" t="s">
        <v>590</v>
      </c>
      <c r="D209" s="64">
        <f>VLOOKUP(C209,'CHAS - Cook Co'!$C$1:$J$2762,2,FALSE) - VLOOKUP(C209,'CHAS - Chicago'!$C$1:$J$2762,2,FALSE)</f>
        <v>890</v>
      </c>
      <c r="E209" t="s">
        <v>373</v>
      </c>
      <c r="F209" s="71" t="s">
        <v>508</v>
      </c>
      <c r="G209" s="71" t="s">
        <v>424</v>
      </c>
      <c r="H209" s="71" t="s">
        <v>415</v>
      </c>
      <c r="I209" s="71" t="s">
        <v>386</v>
      </c>
    </row>
    <row r="210" spans="1:9" ht="43.5" x14ac:dyDescent="0.35">
      <c r="A210">
        <v>1</v>
      </c>
      <c r="B210">
        <v>209</v>
      </c>
      <c r="C210" t="s">
        <v>591</v>
      </c>
      <c r="D210" s="64">
        <f>VLOOKUP(C210,'CHAS - Cook Co'!$C$1:$J$2762,2,FALSE) - VLOOKUP(C210,'CHAS - Chicago'!$C$1:$J$2762,2,FALSE)</f>
        <v>8560</v>
      </c>
      <c r="E210" t="s">
        <v>366</v>
      </c>
      <c r="F210" s="71" t="s">
        <v>508</v>
      </c>
      <c r="G210" s="71" t="s">
        <v>466</v>
      </c>
      <c r="H210" s="71" t="s">
        <v>363</v>
      </c>
      <c r="I210" s="71" t="s">
        <v>364</v>
      </c>
    </row>
    <row r="211" spans="1:9" ht="43.5" x14ac:dyDescent="0.35">
      <c r="A211">
        <v>1</v>
      </c>
      <c r="B211">
        <v>210</v>
      </c>
      <c r="C211" t="s">
        <v>592</v>
      </c>
      <c r="D211" s="64">
        <f>VLOOKUP(C211,'CHAS - Cook Co'!$C$1:$J$2762,2,FALSE) - VLOOKUP(C211,'CHAS - Chicago'!$C$1:$J$2762,2,FALSE)</f>
        <v>8560</v>
      </c>
      <c r="E211" t="s">
        <v>366</v>
      </c>
      <c r="F211" s="71" t="s">
        <v>508</v>
      </c>
      <c r="G211" s="71" t="s">
        <v>466</v>
      </c>
      <c r="H211" s="71" t="s">
        <v>371</v>
      </c>
      <c r="I211" s="71" t="s">
        <v>364</v>
      </c>
    </row>
    <row r="212" spans="1:9" ht="43.5" x14ac:dyDescent="0.35">
      <c r="A212">
        <v>1</v>
      </c>
      <c r="B212">
        <v>211</v>
      </c>
      <c r="C212" t="s">
        <v>593</v>
      </c>
      <c r="D212" s="64">
        <f>VLOOKUP(C212,'CHAS - Cook Co'!$C$1:$J$2762,2,FALSE) - VLOOKUP(C212,'CHAS - Chicago'!$C$1:$J$2762,2,FALSE)</f>
        <v>2550</v>
      </c>
      <c r="E212" t="s">
        <v>373</v>
      </c>
      <c r="F212" s="71" t="s">
        <v>508</v>
      </c>
      <c r="G212" s="71" t="s">
        <v>466</v>
      </c>
      <c r="H212" s="71" t="s">
        <v>371</v>
      </c>
      <c r="I212" s="71" t="s">
        <v>374</v>
      </c>
    </row>
    <row r="213" spans="1:9" ht="43.5" x14ac:dyDescent="0.35">
      <c r="A213">
        <v>1</v>
      </c>
      <c r="B213">
        <v>212</v>
      </c>
      <c r="C213" t="s">
        <v>594</v>
      </c>
      <c r="D213" s="64">
        <f>VLOOKUP(C213,'CHAS - Cook Co'!$C$1:$J$2762,2,FALSE) - VLOOKUP(C213,'CHAS - Chicago'!$C$1:$J$2762,2,FALSE)</f>
        <v>4510</v>
      </c>
      <c r="E213" t="s">
        <v>373</v>
      </c>
      <c r="F213" s="71" t="s">
        <v>508</v>
      </c>
      <c r="G213" s="71" t="s">
        <v>466</v>
      </c>
      <c r="H213" s="71" t="s">
        <v>371</v>
      </c>
      <c r="I213" s="71" t="s">
        <v>376</v>
      </c>
    </row>
    <row r="214" spans="1:9" ht="43.5" x14ac:dyDescent="0.35">
      <c r="A214">
        <v>1</v>
      </c>
      <c r="B214">
        <v>213</v>
      </c>
      <c r="C214" t="s">
        <v>595</v>
      </c>
      <c r="D214" s="64">
        <f>VLOOKUP(C214,'CHAS - Cook Co'!$C$1:$J$2762,2,FALSE) - VLOOKUP(C214,'CHAS - Chicago'!$C$1:$J$2762,2,FALSE)</f>
        <v>495</v>
      </c>
      <c r="E214" t="s">
        <v>373</v>
      </c>
      <c r="F214" s="71" t="s">
        <v>508</v>
      </c>
      <c r="G214" s="71" t="s">
        <v>466</v>
      </c>
      <c r="H214" s="71" t="s">
        <v>371</v>
      </c>
      <c r="I214" s="71" t="s">
        <v>378</v>
      </c>
    </row>
    <row r="215" spans="1:9" ht="43.5" x14ac:dyDescent="0.35">
      <c r="A215">
        <v>1</v>
      </c>
      <c r="B215">
        <v>214</v>
      </c>
      <c r="C215" t="s">
        <v>596</v>
      </c>
      <c r="D215" s="64">
        <f>VLOOKUP(C215,'CHAS - Cook Co'!$C$1:$J$2762,2,FALSE) - VLOOKUP(C215,'CHAS - Chicago'!$C$1:$J$2762,2,FALSE)</f>
        <v>0</v>
      </c>
      <c r="E215" t="s">
        <v>373</v>
      </c>
      <c r="F215" s="71" t="s">
        <v>508</v>
      </c>
      <c r="G215" s="71" t="s">
        <v>466</v>
      </c>
      <c r="H215" s="71" t="s">
        <v>371</v>
      </c>
      <c r="I215" s="71" t="s">
        <v>380</v>
      </c>
    </row>
    <row r="216" spans="1:9" ht="43.5" x14ac:dyDescent="0.35">
      <c r="A216">
        <v>1</v>
      </c>
      <c r="B216">
        <v>215</v>
      </c>
      <c r="C216" t="s">
        <v>597</v>
      </c>
      <c r="D216" s="64">
        <f>VLOOKUP(C216,'CHAS - Cook Co'!$C$1:$J$2762,2,FALSE) - VLOOKUP(C216,'CHAS - Chicago'!$C$1:$J$2762,2,FALSE)</f>
        <v>0</v>
      </c>
      <c r="E216" t="s">
        <v>373</v>
      </c>
      <c r="F216" s="71" t="s">
        <v>508</v>
      </c>
      <c r="G216" s="71" t="s">
        <v>466</v>
      </c>
      <c r="H216" s="71" t="s">
        <v>371</v>
      </c>
      <c r="I216" s="71" t="s">
        <v>382</v>
      </c>
    </row>
    <row r="217" spans="1:9" ht="43.5" x14ac:dyDescent="0.35">
      <c r="A217">
        <v>1</v>
      </c>
      <c r="B217">
        <v>216</v>
      </c>
      <c r="C217" t="s">
        <v>598</v>
      </c>
      <c r="D217" s="64">
        <f>VLOOKUP(C217,'CHAS - Cook Co'!$C$1:$J$2762,2,FALSE) - VLOOKUP(C217,'CHAS - Chicago'!$C$1:$J$2762,2,FALSE)</f>
        <v>865</v>
      </c>
      <c r="E217" t="s">
        <v>373</v>
      </c>
      <c r="F217" s="71" t="s">
        <v>508</v>
      </c>
      <c r="G217" s="71" t="s">
        <v>466</v>
      </c>
      <c r="H217" s="71" t="s">
        <v>371</v>
      </c>
      <c r="I217" s="71" t="s">
        <v>384</v>
      </c>
    </row>
    <row r="218" spans="1:9" ht="43.5" x14ac:dyDescent="0.35">
      <c r="A218">
        <v>1</v>
      </c>
      <c r="B218">
        <v>217</v>
      </c>
      <c r="C218" t="s">
        <v>599</v>
      </c>
      <c r="D218" s="64">
        <f>VLOOKUP(C218,'CHAS - Cook Co'!$C$1:$J$2762,2,FALSE) - VLOOKUP(C218,'CHAS - Chicago'!$C$1:$J$2762,2,FALSE)</f>
        <v>145</v>
      </c>
      <c r="E218" t="s">
        <v>373</v>
      </c>
      <c r="F218" s="71" t="s">
        <v>508</v>
      </c>
      <c r="G218" s="71" t="s">
        <v>466</v>
      </c>
      <c r="H218" s="71" t="s">
        <v>371</v>
      </c>
      <c r="I218" s="71" t="s">
        <v>386</v>
      </c>
    </row>
    <row r="219" spans="1:9" ht="43.5" x14ac:dyDescent="0.35">
      <c r="A219">
        <v>1</v>
      </c>
      <c r="B219">
        <v>218</v>
      </c>
      <c r="C219" t="s">
        <v>600</v>
      </c>
      <c r="D219" s="64">
        <f>VLOOKUP(C219,'CHAS - Cook Co'!$C$1:$J$2762,2,FALSE) - VLOOKUP(C219,'CHAS - Chicago'!$C$1:$J$2762,2,FALSE)</f>
        <v>0</v>
      </c>
      <c r="E219" t="s">
        <v>366</v>
      </c>
      <c r="F219" s="71" t="s">
        <v>508</v>
      </c>
      <c r="G219" s="71" t="s">
        <v>466</v>
      </c>
      <c r="H219" s="71" t="s">
        <v>388</v>
      </c>
      <c r="I219" s="71" t="s">
        <v>364</v>
      </c>
    </row>
    <row r="220" spans="1:9" ht="43.5" x14ac:dyDescent="0.35">
      <c r="A220">
        <v>1</v>
      </c>
      <c r="B220">
        <v>219</v>
      </c>
      <c r="C220" t="s">
        <v>601</v>
      </c>
      <c r="D220" s="64">
        <f>VLOOKUP(C220,'CHAS - Cook Co'!$C$1:$J$2762,2,FALSE) - VLOOKUP(C220,'CHAS - Chicago'!$C$1:$J$2762,2,FALSE)</f>
        <v>0</v>
      </c>
      <c r="E220" t="s">
        <v>373</v>
      </c>
      <c r="F220" s="71" t="s">
        <v>508</v>
      </c>
      <c r="G220" s="71" t="s">
        <v>466</v>
      </c>
      <c r="H220" s="71" t="s">
        <v>388</v>
      </c>
      <c r="I220" s="71" t="s">
        <v>374</v>
      </c>
    </row>
    <row r="221" spans="1:9" ht="43.5" x14ac:dyDescent="0.35">
      <c r="A221">
        <v>1</v>
      </c>
      <c r="B221">
        <v>220</v>
      </c>
      <c r="C221" t="s">
        <v>602</v>
      </c>
      <c r="D221" s="64">
        <f>VLOOKUP(C221,'CHAS - Cook Co'!$C$1:$J$2762,2,FALSE) - VLOOKUP(C221,'CHAS - Chicago'!$C$1:$J$2762,2,FALSE)</f>
        <v>0</v>
      </c>
      <c r="E221" t="s">
        <v>373</v>
      </c>
      <c r="F221" s="71" t="s">
        <v>508</v>
      </c>
      <c r="G221" s="71" t="s">
        <v>466</v>
      </c>
      <c r="H221" s="71" t="s">
        <v>388</v>
      </c>
      <c r="I221" s="71" t="s">
        <v>376</v>
      </c>
    </row>
    <row r="222" spans="1:9" ht="43.5" x14ac:dyDescent="0.35">
      <c r="A222">
        <v>1</v>
      </c>
      <c r="B222">
        <v>221</v>
      </c>
      <c r="C222" t="s">
        <v>603</v>
      </c>
      <c r="D222" s="64">
        <f>VLOOKUP(C222,'CHAS - Cook Co'!$C$1:$J$2762,2,FALSE) - VLOOKUP(C222,'CHAS - Chicago'!$C$1:$J$2762,2,FALSE)</f>
        <v>0</v>
      </c>
      <c r="E222" t="s">
        <v>373</v>
      </c>
      <c r="F222" s="71" t="s">
        <v>508</v>
      </c>
      <c r="G222" s="71" t="s">
        <v>466</v>
      </c>
      <c r="H222" s="71" t="s">
        <v>388</v>
      </c>
      <c r="I222" s="71" t="s">
        <v>378</v>
      </c>
    </row>
    <row r="223" spans="1:9" ht="43.5" x14ac:dyDescent="0.35">
      <c r="A223">
        <v>1</v>
      </c>
      <c r="B223">
        <v>222</v>
      </c>
      <c r="C223" t="s">
        <v>604</v>
      </c>
      <c r="D223" s="64">
        <f>VLOOKUP(C223,'CHAS - Cook Co'!$C$1:$J$2762,2,FALSE) - VLOOKUP(C223,'CHAS - Chicago'!$C$1:$J$2762,2,FALSE)</f>
        <v>0</v>
      </c>
      <c r="E223" t="s">
        <v>373</v>
      </c>
      <c r="F223" s="71" t="s">
        <v>508</v>
      </c>
      <c r="G223" s="71" t="s">
        <v>466</v>
      </c>
      <c r="H223" s="71" t="s">
        <v>388</v>
      </c>
      <c r="I223" s="71" t="s">
        <v>380</v>
      </c>
    </row>
    <row r="224" spans="1:9" ht="43.5" x14ac:dyDescent="0.35">
      <c r="A224">
        <v>1</v>
      </c>
      <c r="B224">
        <v>223</v>
      </c>
      <c r="C224" t="s">
        <v>605</v>
      </c>
      <c r="D224" s="64">
        <f>VLOOKUP(C224,'CHAS - Cook Co'!$C$1:$J$2762,2,FALSE) - VLOOKUP(C224,'CHAS - Chicago'!$C$1:$J$2762,2,FALSE)</f>
        <v>0</v>
      </c>
      <c r="E224" t="s">
        <v>373</v>
      </c>
      <c r="F224" s="71" t="s">
        <v>508</v>
      </c>
      <c r="G224" s="71" t="s">
        <v>466</v>
      </c>
      <c r="H224" s="71" t="s">
        <v>388</v>
      </c>
      <c r="I224" s="71" t="s">
        <v>382</v>
      </c>
    </row>
    <row r="225" spans="1:9" ht="43.5" x14ac:dyDescent="0.35">
      <c r="A225">
        <v>1</v>
      </c>
      <c r="B225">
        <v>224</v>
      </c>
      <c r="C225" t="s">
        <v>606</v>
      </c>
      <c r="D225" s="64">
        <f>VLOOKUP(C225,'CHAS - Cook Co'!$C$1:$J$2762,2,FALSE) - VLOOKUP(C225,'CHAS - Chicago'!$C$1:$J$2762,2,FALSE)</f>
        <v>0</v>
      </c>
      <c r="E225" t="s">
        <v>373</v>
      </c>
      <c r="F225" s="71" t="s">
        <v>508</v>
      </c>
      <c r="G225" s="71" t="s">
        <v>466</v>
      </c>
      <c r="H225" s="71" t="s">
        <v>388</v>
      </c>
      <c r="I225" s="71" t="s">
        <v>384</v>
      </c>
    </row>
    <row r="226" spans="1:9" ht="43.5" x14ac:dyDescent="0.35">
      <c r="A226">
        <v>1</v>
      </c>
      <c r="B226">
        <v>225</v>
      </c>
      <c r="C226" t="s">
        <v>607</v>
      </c>
      <c r="D226" s="64">
        <f>VLOOKUP(C226,'CHAS - Cook Co'!$C$1:$J$2762,2,FALSE) - VLOOKUP(C226,'CHAS - Chicago'!$C$1:$J$2762,2,FALSE)</f>
        <v>0</v>
      </c>
      <c r="E226" t="s">
        <v>373</v>
      </c>
      <c r="F226" s="71" t="s">
        <v>508</v>
      </c>
      <c r="G226" s="71" t="s">
        <v>466</v>
      </c>
      <c r="H226" s="71" t="s">
        <v>388</v>
      </c>
      <c r="I226" s="71" t="s">
        <v>386</v>
      </c>
    </row>
    <row r="227" spans="1:9" ht="43.5" x14ac:dyDescent="0.35">
      <c r="A227">
        <v>1</v>
      </c>
      <c r="B227">
        <v>226</v>
      </c>
      <c r="C227" t="s">
        <v>608</v>
      </c>
      <c r="D227" s="64">
        <f>VLOOKUP(C227,'CHAS - Cook Co'!$C$1:$J$2762,2,FALSE) - VLOOKUP(C227,'CHAS - Chicago'!$C$1:$J$2762,2,FALSE)</f>
        <v>0</v>
      </c>
      <c r="E227" t="s">
        <v>366</v>
      </c>
      <c r="F227" s="71" t="s">
        <v>508</v>
      </c>
      <c r="G227" s="71" t="s">
        <v>466</v>
      </c>
      <c r="H227" s="71" t="s">
        <v>397</v>
      </c>
      <c r="I227" s="71" t="s">
        <v>364</v>
      </c>
    </row>
    <row r="228" spans="1:9" ht="43.5" x14ac:dyDescent="0.35">
      <c r="A228">
        <v>1</v>
      </c>
      <c r="B228">
        <v>227</v>
      </c>
      <c r="C228" t="s">
        <v>609</v>
      </c>
      <c r="D228" s="64">
        <f>VLOOKUP(C228,'CHAS - Cook Co'!$C$1:$J$2762,2,FALSE) - VLOOKUP(C228,'CHAS - Chicago'!$C$1:$J$2762,2,FALSE)</f>
        <v>0</v>
      </c>
      <c r="E228" t="s">
        <v>373</v>
      </c>
      <c r="F228" s="71" t="s">
        <v>508</v>
      </c>
      <c r="G228" s="71" t="s">
        <v>466</v>
      </c>
      <c r="H228" s="71" t="s">
        <v>397</v>
      </c>
      <c r="I228" s="71" t="s">
        <v>374</v>
      </c>
    </row>
    <row r="229" spans="1:9" ht="43.5" x14ac:dyDescent="0.35">
      <c r="A229">
        <v>1</v>
      </c>
      <c r="B229">
        <v>228</v>
      </c>
      <c r="C229" t="s">
        <v>610</v>
      </c>
      <c r="D229" s="64">
        <f>VLOOKUP(C229,'CHAS - Cook Co'!$C$1:$J$2762,2,FALSE) - VLOOKUP(C229,'CHAS - Chicago'!$C$1:$J$2762,2,FALSE)</f>
        <v>0</v>
      </c>
      <c r="E229" t="s">
        <v>373</v>
      </c>
      <c r="F229" s="71" t="s">
        <v>508</v>
      </c>
      <c r="G229" s="71" t="s">
        <v>466</v>
      </c>
      <c r="H229" s="71" t="s">
        <v>397</v>
      </c>
      <c r="I229" s="71" t="s">
        <v>376</v>
      </c>
    </row>
    <row r="230" spans="1:9" ht="43.5" x14ac:dyDescent="0.35">
      <c r="A230">
        <v>1</v>
      </c>
      <c r="B230">
        <v>229</v>
      </c>
      <c r="C230" t="s">
        <v>611</v>
      </c>
      <c r="D230" s="64">
        <f>VLOOKUP(C230,'CHAS - Cook Co'!$C$1:$J$2762,2,FALSE) - VLOOKUP(C230,'CHAS - Chicago'!$C$1:$J$2762,2,FALSE)</f>
        <v>0</v>
      </c>
      <c r="E230" t="s">
        <v>373</v>
      </c>
      <c r="F230" s="71" t="s">
        <v>508</v>
      </c>
      <c r="G230" s="71" t="s">
        <v>466</v>
      </c>
      <c r="H230" s="71" t="s">
        <v>397</v>
      </c>
      <c r="I230" s="71" t="s">
        <v>378</v>
      </c>
    </row>
    <row r="231" spans="1:9" ht="43.5" x14ac:dyDescent="0.35">
      <c r="A231">
        <v>1</v>
      </c>
      <c r="B231">
        <v>230</v>
      </c>
      <c r="C231" t="s">
        <v>612</v>
      </c>
      <c r="D231" s="64">
        <f>VLOOKUP(C231,'CHAS - Cook Co'!$C$1:$J$2762,2,FALSE) - VLOOKUP(C231,'CHAS - Chicago'!$C$1:$J$2762,2,FALSE)</f>
        <v>0</v>
      </c>
      <c r="E231" t="s">
        <v>373</v>
      </c>
      <c r="F231" s="71" t="s">
        <v>508</v>
      </c>
      <c r="G231" s="71" t="s">
        <v>466</v>
      </c>
      <c r="H231" s="71" t="s">
        <v>397</v>
      </c>
      <c r="I231" s="71" t="s">
        <v>380</v>
      </c>
    </row>
    <row r="232" spans="1:9" ht="43.5" x14ac:dyDescent="0.35">
      <c r="A232">
        <v>1</v>
      </c>
      <c r="B232">
        <v>231</v>
      </c>
      <c r="C232" t="s">
        <v>613</v>
      </c>
      <c r="D232" s="64">
        <f>VLOOKUP(C232,'CHAS - Cook Co'!$C$1:$J$2762,2,FALSE) - VLOOKUP(C232,'CHAS - Chicago'!$C$1:$J$2762,2,FALSE)</f>
        <v>0</v>
      </c>
      <c r="E232" t="s">
        <v>373</v>
      </c>
      <c r="F232" s="71" t="s">
        <v>508</v>
      </c>
      <c r="G232" s="71" t="s">
        <v>466</v>
      </c>
      <c r="H232" s="71" t="s">
        <v>397</v>
      </c>
      <c r="I232" s="71" t="s">
        <v>382</v>
      </c>
    </row>
    <row r="233" spans="1:9" ht="43.5" x14ac:dyDescent="0.35">
      <c r="A233">
        <v>1</v>
      </c>
      <c r="B233">
        <v>232</v>
      </c>
      <c r="C233" t="s">
        <v>614</v>
      </c>
      <c r="D233" s="64">
        <f>VLOOKUP(C233,'CHAS - Cook Co'!$C$1:$J$2762,2,FALSE) - VLOOKUP(C233,'CHAS - Chicago'!$C$1:$J$2762,2,FALSE)</f>
        <v>0</v>
      </c>
      <c r="E233" t="s">
        <v>373</v>
      </c>
      <c r="F233" s="71" t="s">
        <v>508</v>
      </c>
      <c r="G233" s="71" t="s">
        <v>466</v>
      </c>
      <c r="H233" s="71" t="s">
        <v>397</v>
      </c>
      <c r="I233" s="71" t="s">
        <v>384</v>
      </c>
    </row>
    <row r="234" spans="1:9" ht="43.5" x14ac:dyDescent="0.35">
      <c r="A234">
        <v>1</v>
      </c>
      <c r="B234">
        <v>233</v>
      </c>
      <c r="C234" t="s">
        <v>615</v>
      </c>
      <c r="D234" s="64">
        <f>VLOOKUP(C234,'CHAS - Cook Co'!$C$1:$J$2762,2,FALSE) - VLOOKUP(C234,'CHAS - Chicago'!$C$1:$J$2762,2,FALSE)</f>
        <v>0</v>
      </c>
      <c r="E234" t="s">
        <v>373</v>
      </c>
      <c r="F234" s="71" t="s">
        <v>508</v>
      </c>
      <c r="G234" s="71" t="s">
        <v>466</v>
      </c>
      <c r="H234" s="71" t="s">
        <v>397</v>
      </c>
      <c r="I234" s="71" t="s">
        <v>386</v>
      </c>
    </row>
    <row r="235" spans="1:9" ht="43.5" x14ac:dyDescent="0.35">
      <c r="A235">
        <v>1</v>
      </c>
      <c r="B235">
        <v>234</v>
      </c>
      <c r="C235" t="s">
        <v>616</v>
      </c>
      <c r="D235" s="64">
        <f>VLOOKUP(C235,'CHAS - Cook Co'!$C$1:$J$2762,2,FALSE) - VLOOKUP(C235,'CHAS - Chicago'!$C$1:$J$2762,2,FALSE)</f>
        <v>0</v>
      </c>
      <c r="E235" t="s">
        <v>366</v>
      </c>
      <c r="F235" s="71" t="s">
        <v>508</v>
      </c>
      <c r="G235" s="71" t="s">
        <v>466</v>
      </c>
      <c r="H235" s="71" t="s">
        <v>406</v>
      </c>
      <c r="I235" s="71" t="s">
        <v>364</v>
      </c>
    </row>
    <row r="236" spans="1:9" ht="43.5" x14ac:dyDescent="0.35">
      <c r="A236">
        <v>1</v>
      </c>
      <c r="B236">
        <v>235</v>
      </c>
      <c r="C236" t="s">
        <v>617</v>
      </c>
      <c r="D236" s="64">
        <f>VLOOKUP(C236,'CHAS - Cook Co'!$C$1:$J$2762,2,FALSE) - VLOOKUP(C236,'CHAS - Chicago'!$C$1:$J$2762,2,FALSE)</f>
        <v>0</v>
      </c>
      <c r="E236" t="s">
        <v>373</v>
      </c>
      <c r="F236" s="71" t="s">
        <v>508</v>
      </c>
      <c r="G236" s="71" t="s">
        <v>466</v>
      </c>
      <c r="H236" s="71" t="s">
        <v>406</v>
      </c>
      <c r="I236" s="71" t="s">
        <v>374</v>
      </c>
    </row>
    <row r="237" spans="1:9" ht="43.5" x14ac:dyDescent="0.35">
      <c r="A237">
        <v>1</v>
      </c>
      <c r="B237">
        <v>236</v>
      </c>
      <c r="C237" t="s">
        <v>618</v>
      </c>
      <c r="D237" s="64">
        <f>VLOOKUP(C237,'CHAS - Cook Co'!$C$1:$J$2762,2,FALSE) - VLOOKUP(C237,'CHAS - Chicago'!$C$1:$J$2762,2,FALSE)</f>
        <v>0</v>
      </c>
      <c r="E237" t="s">
        <v>373</v>
      </c>
      <c r="F237" s="71" t="s">
        <v>508</v>
      </c>
      <c r="G237" s="71" t="s">
        <v>466</v>
      </c>
      <c r="H237" s="71" t="s">
        <v>406</v>
      </c>
      <c r="I237" s="71" t="s">
        <v>376</v>
      </c>
    </row>
    <row r="238" spans="1:9" ht="43.5" x14ac:dyDescent="0.35">
      <c r="A238">
        <v>1</v>
      </c>
      <c r="B238">
        <v>237</v>
      </c>
      <c r="C238" t="s">
        <v>619</v>
      </c>
      <c r="D238" s="64">
        <f>VLOOKUP(C238,'CHAS - Cook Co'!$C$1:$J$2762,2,FALSE) - VLOOKUP(C238,'CHAS - Chicago'!$C$1:$J$2762,2,FALSE)</f>
        <v>0</v>
      </c>
      <c r="E238" t="s">
        <v>373</v>
      </c>
      <c r="F238" s="71" t="s">
        <v>508</v>
      </c>
      <c r="G238" s="71" t="s">
        <v>466</v>
      </c>
      <c r="H238" s="71" t="s">
        <v>406</v>
      </c>
      <c r="I238" s="71" t="s">
        <v>378</v>
      </c>
    </row>
    <row r="239" spans="1:9" ht="43.5" x14ac:dyDescent="0.35">
      <c r="A239">
        <v>1</v>
      </c>
      <c r="B239">
        <v>238</v>
      </c>
      <c r="C239" t="s">
        <v>620</v>
      </c>
      <c r="D239" s="64">
        <f>VLOOKUP(C239,'CHAS - Cook Co'!$C$1:$J$2762,2,FALSE) - VLOOKUP(C239,'CHAS - Chicago'!$C$1:$J$2762,2,FALSE)</f>
        <v>0</v>
      </c>
      <c r="E239" t="s">
        <v>373</v>
      </c>
      <c r="F239" s="71" t="s">
        <v>508</v>
      </c>
      <c r="G239" s="71" t="s">
        <v>466</v>
      </c>
      <c r="H239" s="71" t="s">
        <v>406</v>
      </c>
      <c r="I239" s="71" t="s">
        <v>380</v>
      </c>
    </row>
    <row r="240" spans="1:9" ht="43.5" x14ac:dyDescent="0.35">
      <c r="A240">
        <v>1</v>
      </c>
      <c r="B240">
        <v>239</v>
      </c>
      <c r="C240" t="s">
        <v>621</v>
      </c>
      <c r="D240" s="64">
        <f>VLOOKUP(C240,'CHAS - Cook Co'!$C$1:$J$2762,2,FALSE) - VLOOKUP(C240,'CHAS - Chicago'!$C$1:$J$2762,2,FALSE)</f>
        <v>0</v>
      </c>
      <c r="E240" t="s">
        <v>373</v>
      </c>
      <c r="F240" s="71" t="s">
        <v>508</v>
      </c>
      <c r="G240" s="71" t="s">
        <v>466</v>
      </c>
      <c r="H240" s="71" t="s">
        <v>406</v>
      </c>
      <c r="I240" s="71" t="s">
        <v>382</v>
      </c>
    </row>
    <row r="241" spans="1:9" ht="43.5" x14ac:dyDescent="0.35">
      <c r="A241">
        <v>1</v>
      </c>
      <c r="B241">
        <v>240</v>
      </c>
      <c r="C241" t="s">
        <v>622</v>
      </c>
      <c r="D241" s="64">
        <f>VLOOKUP(C241,'CHAS - Cook Co'!$C$1:$J$2762,2,FALSE) - VLOOKUP(C241,'CHAS - Chicago'!$C$1:$J$2762,2,FALSE)</f>
        <v>0</v>
      </c>
      <c r="E241" t="s">
        <v>373</v>
      </c>
      <c r="F241" s="71" t="s">
        <v>508</v>
      </c>
      <c r="G241" s="71" t="s">
        <v>466</v>
      </c>
      <c r="H241" s="71" t="s">
        <v>406</v>
      </c>
      <c r="I241" s="71" t="s">
        <v>384</v>
      </c>
    </row>
    <row r="242" spans="1:9" ht="43.5" x14ac:dyDescent="0.35">
      <c r="A242">
        <v>1</v>
      </c>
      <c r="B242">
        <v>241</v>
      </c>
      <c r="C242" t="s">
        <v>623</v>
      </c>
      <c r="D242" s="64">
        <f>VLOOKUP(C242,'CHAS - Cook Co'!$C$1:$J$2762,2,FALSE) - VLOOKUP(C242,'CHAS - Chicago'!$C$1:$J$2762,2,FALSE)</f>
        <v>0</v>
      </c>
      <c r="E242" t="s">
        <v>373</v>
      </c>
      <c r="F242" s="71" t="s">
        <v>508</v>
      </c>
      <c r="G242" s="71" t="s">
        <v>466</v>
      </c>
      <c r="H242" s="71" t="s">
        <v>406</v>
      </c>
      <c r="I242" s="71" t="s">
        <v>386</v>
      </c>
    </row>
    <row r="243" spans="1:9" ht="43.5" x14ac:dyDescent="0.35">
      <c r="A243">
        <v>1</v>
      </c>
      <c r="B243">
        <v>242</v>
      </c>
      <c r="C243" t="s">
        <v>624</v>
      </c>
      <c r="D243" s="64">
        <f>VLOOKUP(C243,'CHAS - Cook Co'!$C$1:$J$2762,2,FALSE) - VLOOKUP(C243,'CHAS - Chicago'!$C$1:$J$2762,2,FALSE)</f>
        <v>0</v>
      </c>
      <c r="E243" t="s">
        <v>366</v>
      </c>
      <c r="F243" s="71" t="s">
        <v>508</v>
      </c>
      <c r="G243" s="71" t="s">
        <v>466</v>
      </c>
      <c r="H243" s="71" t="s">
        <v>415</v>
      </c>
      <c r="I243" s="71" t="s">
        <v>364</v>
      </c>
    </row>
    <row r="244" spans="1:9" ht="43.5" x14ac:dyDescent="0.35">
      <c r="A244">
        <v>1</v>
      </c>
      <c r="B244">
        <v>243</v>
      </c>
      <c r="C244" t="s">
        <v>625</v>
      </c>
      <c r="D244" s="64">
        <f>VLOOKUP(C244,'CHAS - Cook Co'!$C$1:$J$2762,2,FALSE) - VLOOKUP(C244,'CHAS - Chicago'!$C$1:$J$2762,2,FALSE)</f>
        <v>0</v>
      </c>
      <c r="E244" t="s">
        <v>373</v>
      </c>
      <c r="F244" s="71" t="s">
        <v>508</v>
      </c>
      <c r="G244" s="71" t="s">
        <v>466</v>
      </c>
      <c r="H244" s="71" t="s">
        <v>415</v>
      </c>
      <c r="I244" s="71" t="s">
        <v>374</v>
      </c>
    </row>
    <row r="245" spans="1:9" ht="43.5" x14ac:dyDescent="0.35">
      <c r="A245">
        <v>1</v>
      </c>
      <c r="B245">
        <v>244</v>
      </c>
      <c r="C245" t="s">
        <v>626</v>
      </c>
      <c r="D245" s="64">
        <f>VLOOKUP(C245,'CHAS - Cook Co'!$C$1:$J$2762,2,FALSE) - VLOOKUP(C245,'CHAS - Chicago'!$C$1:$J$2762,2,FALSE)</f>
        <v>0</v>
      </c>
      <c r="E245" t="s">
        <v>373</v>
      </c>
      <c r="F245" s="71" t="s">
        <v>508</v>
      </c>
      <c r="G245" s="71" t="s">
        <v>466</v>
      </c>
      <c r="H245" s="71" t="s">
        <v>415</v>
      </c>
      <c r="I245" s="71" t="s">
        <v>376</v>
      </c>
    </row>
    <row r="246" spans="1:9" ht="43.5" x14ac:dyDescent="0.35">
      <c r="A246">
        <v>1</v>
      </c>
      <c r="B246">
        <v>245</v>
      </c>
      <c r="C246" t="s">
        <v>627</v>
      </c>
      <c r="D246" s="64">
        <f>VLOOKUP(C246,'CHAS - Cook Co'!$C$1:$J$2762,2,FALSE) - VLOOKUP(C246,'CHAS - Chicago'!$C$1:$J$2762,2,FALSE)</f>
        <v>0</v>
      </c>
      <c r="E246" t="s">
        <v>373</v>
      </c>
      <c r="F246" s="71" t="s">
        <v>508</v>
      </c>
      <c r="G246" s="71" t="s">
        <v>466</v>
      </c>
      <c r="H246" s="71" t="s">
        <v>415</v>
      </c>
      <c r="I246" s="71" t="s">
        <v>378</v>
      </c>
    </row>
    <row r="247" spans="1:9" ht="43.5" x14ac:dyDescent="0.35">
      <c r="A247">
        <v>1</v>
      </c>
      <c r="B247">
        <v>246</v>
      </c>
      <c r="C247" t="s">
        <v>628</v>
      </c>
      <c r="D247" s="64">
        <f>VLOOKUP(C247,'CHAS - Cook Co'!$C$1:$J$2762,2,FALSE) - VLOOKUP(C247,'CHAS - Chicago'!$C$1:$J$2762,2,FALSE)</f>
        <v>0</v>
      </c>
      <c r="E247" t="s">
        <v>373</v>
      </c>
      <c r="F247" s="71" t="s">
        <v>508</v>
      </c>
      <c r="G247" s="71" t="s">
        <v>466</v>
      </c>
      <c r="H247" s="71" t="s">
        <v>415</v>
      </c>
      <c r="I247" s="71" t="s">
        <v>380</v>
      </c>
    </row>
    <row r="248" spans="1:9" ht="43.5" x14ac:dyDescent="0.35">
      <c r="A248">
        <v>1</v>
      </c>
      <c r="B248">
        <v>247</v>
      </c>
      <c r="C248" t="s">
        <v>629</v>
      </c>
      <c r="D248" s="64">
        <f>VLOOKUP(C248,'CHAS - Cook Co'!$C$1:$J$2762,2,FALSE) - VLOOKUP(C248,'CHAS - Chicago'!$C$1:$J$2762,2,FALSE)</f>
        <v>0</v>
      </c>
      <c r="E248" t="s">
        <v>373</v>
      </c>
      <c r="F248" s="71" t="s">
        <v>508</v>
      </c>
      <c r="G248" s="71" t="s">
        <v>466</v>
      </c>
      <c r="H248" s="71" t="s">
        <v>415</v>
      </c>
      <c r="I248" s="71" t="s">
        <v>382</v>
      </c>
    </row>
    <row r="249" spans="1:9" ht="43.5" x14ac:dyDescent="0.35">
      <c r="A249">
        <v>1</v>
      </c>
      <c r="B249">
        <v>248</v>
      </c>
      <c r="C249" t="s">
        <v>630</v>
      </c>
      <c r="D249" s="64">
        <f>VLOOKUP(C249,'CHAS - Cook Co'!$C$1:$J$2762,2,FALSE) - VLOOKUP(C249,'CHAS - Chicago'!$C$1:$J$2762,2,FALSE)</f>
        <v>0</v>
      </c>
      <c r="E249" t="s">
        <v>373</v>
      </c>
      <c r="F249" s="71" t="s">
        <v>508</v>
      </c>
      <c r="G249" s="71" t="s">
        <v>466</v>
      </c>
      <c r="H249" s="71" t="s">
        <v>415</v>
      </c>
      <c r="I249" s="71" t="s">
        <v>384</v>
      </c>
    </row>
    <row r="250" spans="1:9" ht="43.5" x14ac:dyDescent="0.35">
      <c r="A250">
        <v>1</v>
      </c>
      <c r="B250">
        <v>249</v>
      </c>
      <c r="C250" t="s">
        <v>631</v>
      </c>
      <c r="D250" s="64">
        <f>VLOOKUP(C250,'CHAS - Cook Co'!$C$1:$J$2762,2,FALSE) - VLOOKUP(C250,'CHAS - Chicago'!$C$1:$J$2762,2,FALSE)</f>
        <v>0</v>
      </c>
      <c r="E250" t="s">
        <v>373</v>
      </c>
      <c r="F250" s="71" t="s">
        <v>508</v>
      </c>
      <c r="G250" s="71" t="s">
        <v>466</v>
      </c>
      <c r="H250" s="71" t="s">
        <v>415</v>
      </c>
      <c r="I250" s="71" t="s">
        <v>386</v>
      </c>
    </row>
    <row r="251" spans="1:9" ht="29" x14ac:dyDescent="0.35">
      <c r="A251">
        <v>2</v>
      </c>
      <c r="B251">
        <v>1</v>
      </c>
      <c r="C251" t="s">
        <v>632</v>
      </c>
      <c r="D251" s="64">
        <f>VLOOKUP(C251,'CHAS - Cook Co'!$C$1:$J$2762,2,FALSE) - VLOOKUP(C251,'CHAS - Chicago'!$C$1:$J$2762,2,FALSE)</f>
        <v>909025</v>
      </c>
      <c r="E251" t="s">
        <v>26</v>
      </c>
      <c r="F251" s="71" t="s">
        <v>361</v>
      </c>
      <c r="G251" s="71" t="s">
        <v>633</v>
      </c>
      <c r="H251" s="71" t="s">
        <v>363</v>
      </c>
      <c r="I251" s="71" t="s">
        <v>364</v>
      </c>
    </row>
    <row r="252" spans="1:9" x14ac:dyDescent="0.35">
      <c r="A252">
        <v>2</v>
      </c>
      <c r="B252">
        <v>2</v>
      </c>
      <c r="C252" t="s">
        <v>634</v>
      </c>
      <c r="D252" s="64">
        <f>VLOOKUP(C252,'CHAS - Cook Co'!$C$1:$J$2762,2,FALSE) - VLOOKUP(C252,'CHAS - Chicago'!$C$1:$J$2762,2,FALSE)</f>
        <v>645280</v>
      </c>
      <c r="E252" t="s">
        <v>366</v>
      </c>
      <c r="F252" s="71" t="s">
        <v>367</v>
      </c>
      <c r="G252" s="71" t="s">
        <v>633</v>
      </c>
      <c r="H252" s="71" t="s">
        <v>363</v>
      </c>
      <c r="I252" s="71" t="s">
        <v>364</v>
      </c>
    </row>
    <row r="253" spans="1:9" ht="87" x14ac:dyDescent="0.35">
      <c r="A253">
        <v>2</v>
      </c>
      <c r="B253">
        <v>3</v>
      </c>
      <c r="C253" t="s">
        <v>635</v>
      </c>
      <c r="D253" s="64">
        <f>VLOOKUP(C253,'CHAS - Cook Co'!$C$1:$J$2762,2,FALSE) - VLOOKUP(C253,'CHAS - Chicago'!$C$1:$J$2762,2,FALSE)</f>
        <v>95740</v>
      </c>
      <c r="E253" t="s">
        <v>366</v>
      </c>
      <c r="F253" s="71" t="s">
        <v>367</v>
      </c>
      <c r="G253" s="71" t="s">
        <v>636</v>
      </c>
      <c r="H253" s="71" t="s">
        <v>363</v>
      </c>
      <c r="I253" s="71" t="s">
        <v>364</v>
      </c>
    </row>
    <row r="254" spans="1:9" ht="87" x14ac:dyDescent="0.35">
      <c r="A254">
        <v>2</v>
      </c>
      <c r="B254">
        <v>4</v>
      </c>
      <c r="C254" t="s">
        <v>637</v>
      </c>
      <c r="D254" s="64">
        <f>VLOOKUP(C254,'CHAS - Cook Co'!$C$1:$J$2762,2,FALSE) - VLOOKUP(C254,'CHAS - Chicago'!$C$1:$J$2762,2,FALSE)</f>
        <v>38095</v>
      </c>
      <c r="E254" t="s">
        <v>366</v>
      </c>
      <c r="F254" s="71" t="s">
        <v>367</v>
      </c>
      <c r="G254" s="71" t="s">
        <v>636</v>
      </c>
      <c r="H254" s="71" t="s">
        <v>371</v>
      </c>
      <c r="I254" s="71" t="s">
        <v>364</v>
      </c>
    </row>
    <row r="255" spans="1:9" ht="87" x14ac:dyDescent="0.35">
      <c r="A255">
        <v>2</v>
      </c>
      <c r="B255">
        <v>5</v>
      </c>
      <c r="C255" t="s">
        <v>638</v>
      </c>
      <c r="D255" s="64">
        <f>VLOOKUP(C255,'CHAS - Cook Co'!$C$1:$J$2762,2,FALSE) - VLOOKUP(C255,'CHAS - Chicago'!$C$1:$J$2762,2,FALSE)</f>
        <v>24750</v>
      </c>
      <c r="E255" t="s">
        <v>373</v>
      </c>
      <c r="F255" s="71" t="s">
        <v>367</v>
      </c>
      <c r="G255" s="71" t="s">
        <v>636</v>
      </c>
      <c r="H255" s="71" t="s">
        <v>371</v>
      </c>
      <c r="I255" s="71" t="s">
        <v>374</v>
      </c>
    </row>
    <row r="256" spans="1:9" ht="87" x14ac:dyDescent="0.35">
      <c r="A256">
        <v>2</v>
      </c>
      <c r="B256">
        <v>6</v>
      </c>
      <c r="C256" t="s">
        <v>639</v>
      </c>
      <c r="D256" s="64">
        <f>VLOOKUP(C256,'CHAS - Cook Co'!$C$1:$J$2762,2,FALSE) - VLOOKUP(C256,'CHAS - Chicago'!$C$1:$J$2762,2,FALSE)</f>
        <v>6495</v>
      </c>
      <c r="E256" t="s">
        <v>373</v>
      </c>
      <c r="F256" s="71" t="s">
        <v>367</v>
      </c>
      <c r="G256" s="71" t="s">
        <v>636</v>
      </c>
      <c r="H256" s="71" t="s">
        <v>371</v>
      </c>
      <c r="I256" s="71" t="s">
        <v>376</v>
      </c>
    </row>
    <row r="257" spans="1:9" ht="87" x14ac:dyDescent="0.35">
      <c r="A257">
        <v>2</v>
      </c>
      <c r="B257">
        <v>7</v>
      </c>
      <c r="C257" t="s">
        <v>640</v>
      </c>
      <c r="D257" s="64">
        <f>VLOOKUP(C257,'CHAS - Cook Co'!$C$1:$J$2762,2,FALSE) - VLOOKUP(C257,'CHAS - Chicago'!$C$1:$J$2762,2,FALSE)</f>
        <v>1635</v>
      </c>
      <c r="E257" t="s">
        <v>373</v>
      </c>
      <c r="F257" s="71" t="s">
        <v>367</v>
      </c>
      <c r="G257" s="71" t="s">
        <v>636</v>
      </c>
      <c r="H257" s="71" t="s">
        <v>371</v>
      </c>
      <c r="I257" s="71" t="s">
        <v>378</v>
      </c>
    </row>
    <row r="258" spans="1:9" ht="87" x14ac:dyDescent="0.35">
      <c r="A258">
        <v>2</v>
      </c>
      <c r="B258">
        <v>8</v>
      </c>
      <c r="C258" t="s">
        <v>641</v>
      </c>
      <c r="D258" s="64">
        <f>VLOOKUP(C258,'CHAS - Cook Co'!$C$1:$J$2762,2,FALSE) - VLOOKUP(C258,'CHAS - Chicago'!$C$1:$J$2762,2,FALSE)</f>
        <v>65</v>
      </c>
      <c r="E258" t="s">
        <v>373</v>
      </c>
      <c r="F258" s="71" t="s">
        <v>367</v>
      </c>
      <c r="G258" s="71" t="s">
        <v>636</v>
      </c>
      <c r="H258" s="71" t="s">
        <v>371</v>
      </c>
      <c r="I258" s="71" t="s">
        <v>380</v>
      </c>
    </row>
    <row r="259" spans="1:9" ht="87" x14ac:dyDescent="0.35">
      <c r="A259">
        <v>2</v>
      </c>
      <c r="B259">
        <v>9</v>
      </c>
      <c r="C259" t="s">
        <v>642</v>
      </c>
      <c r="D259" s="64">
        <f>VLOOKUP(C259,'CHAS - Cook Co'!$C$1:$J$2762,2,FALSE) - VLOOKUP(C259,'CHAS - Chicago'!$C$1:$J$2762,2,FALSE)</f>
        <v>0</v>
      </c>
      <c r="E259" t="s">
        <v>373</v>
      </c>
      <c r="F259" s="71" t="s">
        <v>367</v>
      </c>
      <c r="G259" s="71" t="s">
        <v>636</v>
      </c>
      <c r="H259" s="71" t="s">
        <v>371</v>
      </c>
      <c r="I259" s="71" t="s">
        <v>382</v>
      </c>
    </row>
    <row r="260" spans="1:9" ht="87" x14ac:dyDescent="0.35">
      <c r="A260">
        <v>2</v>
      </c>
      <c r="B260">
        <v>10</v>
      </c>
      <c r="C260" t="s">
        <v>643</v>
      </c>
      <c r="D260" s="64">
        <f>VLOOKUP(C260,'CHAS - Cook Co'!$C$1:$J$2762,2,FALSE) - VLOOKUP(C260,'CHAS - Chicago'!$C$1:$J$2762,2,FALSE)</f>
        <v>4860</v>
      </c>
      <c r="E260" t="s">
        <v>373</v>
      </c>
      <c r="F260" s="71" t="s">
        <v>367</v>
      </c>
      <c r="G260" s="71" t="s">
        <v>636</v>
      </c>
      <c r="H260" s="71" t="s">
        <v>371</v>
      </c>
      <c r="I260" s="71" t="s">
        <v>384</v>
      </c>
    </row>
    <row r="261" spans="1:9" ht="87" x14ac:dyDescent="0.35">
      <c r="A261">
        <v>2</v>
      </c>
      <c r="B261">
        <v>11</v>
      </c>
      <c r="C261" t="s">
        <v>644</v>
      </c>
      <c r="D261" s="64">
        <f>VLOOKUP(C261,'CHAS - Cook Co'!$C$1:$J$2762,2,FALSE) - VLOOKUP(C261,'CHAS - Chicago'!$C$1:$J$2762,2,FALSE)</f>
        <v>300</v>
      </c>
      <c r="E261" t="s">
        <v>373</v>
      </c>
      <c r="F261" s="71" t="s">
        <v>367</v>
      </c>
      <c r="G261" s="71" t="s">
        <v>636</v>
      </c>
      <c r="H261" s="71" t="s">
        <v>371</v>
      </c>
      <c r="I261" s="71" t="s">
        <v>386</v>
      </c>
    </row>
    <row r="262" spans="1:9" ht="87" x14ac:dyDescent="0.35">
      <c r="A262">
        <v>2</v>
      </c>
      <c r="B262">
        <v>12</v>
      </c>
      <c r="C262" t="s">
        <v>645</v>
      </c>
      <c r="D262" s="64">
        <f>VLOOKUP(C262,'CHAS - Cook Co'!$C$1:$J$2762,2,FALSE) - VLOOKUP(C262,'CHAS - Chicago'!$C$1:$J$2762,2,FALSE)</f>
        <v>25940</v>
      </c>
      <c r="E262" t="s">
        <v>366</v>
      </c>
      <c r="F262" s="71" t="s">
        <v>367</v>
      </c>
      <c r="G262" s="71" t="s">
        <v>636</v>
      </c>
      <c r="H262" s="71" t="s">
        <v>388</v>
      </c>
      <c r="I262" s="71" t="s">
        <v>364</v>
      </c>
    </row>
    <row r="263" spans="1:9" ht="87" x14ac:dyDescent="0.35">
      <c r="A263">
        <v>2</v>
      </c>
      <c r="B263">
        <v>13</v>
      </c>
      <c r="C263" t="s">
        <v>646</v>
      </c>
      <c r="D263" s="64">
        <f>VLOOKUP(C263,'CHAS - Cook Co'!$C$1:$J$2762,2,FALSE) - VLOOKUP(C263,'CHAS - Chicago'!$C$1:$J$2762,2,FALSE)</f>
        <v>15250</v>
      </c>
      <c r="E263" t="s">
        <v>373</v>
      </c>
      <c r="F263" s="71" t="s">
        <v>367</v>
      </c>
      <c r="G263" s="71" t="s">
        <v>636</v>
      </c>
      <c r="H263" s="71" t="s">
        <v>388</v>
      </c>
      <c r="I263" s="71" t="s">
        <v>374</v>
      </c>
    </row>
    <row r="264" spans="1:9" ht="87" x14ac:dyDescent="0.35">
      <c r="A264">
        <v>2</v>
      </c>
      <c r="B264">
        <v>14</v>
      </c>
      <c r="C264" t="s">
        <v>647</v>
      </c>
      <c r="D264" s="64">
        <f>VLOOKUP(C264,'CHAS - Cook Co'!$C$1:$J$2762,2,FALSE) - VLOOKUP(C264,'CHAS - Chicago'!$C$1:$J$2762,2,FALSE)</f>
        <v>3970</v>
      </c>
      <c r="E264" t="s">
        <v>373</v>
      </c>
      <c r="F264" s="71" t="s">
        <v>367</v>
      </c>
      <c r="G264" s="71" t="s">
        <v>636</v>
      </c>
      <c r="H264" s="71" t="s">
        <v>388</v>
      </c>
      <c r="I264" s="71" t="s">
        <v>376</v>
      </c>
    </row>
    <row r="265" spans="1:9" ht="87" x14ac:dyDescent="0.35">
      <c r="A265">
        <v>2</v>
      </c>
      <c r="B265">
        <v>15</v>
      </c>
      <c r="C265" t="s">
        <v>648</v>
      </c>
      <c r="D265" s="64">
        <f>VLOOKUP(C265,'CHAS - Cook Co'!$C$1:$J$2762,2,FALSE) - VLOOKUP(C265,'CHAS - Chicago'!$C$1:$J$2762,2,FALSE)</f>
        <v>1430</v>
      </c>
      <c r="E265" t="s">
        <v>373</v>
      </c>
      <c r="F265" s="71" t="s">
        <v>367</v>
      </c>
      <c r="G265" s="71" t="s">
        <v>636</v>
      </c>
      <c r="H265" s="71" t="s">
        <v>388</v>
      </c>
      <c r="I265" s="71" t="s">
        <v>378</v>
      </c>
    </row>
    <row r="266" spans="1:9" ht="87" x14ac:dyDescent="0.35">
      <c r="A266">
        <v>2</v>
      </c>
      <c r="B266">
        <v>16</v>
      </c>
      <c r="C266" t="s">
        <v>649</v>
      </c>
      <c r="D266" s="64">
        <f>VLOOKUP(C266,'CHAS - Cook Co'!$C$1:$J$2762,2,FALSE) - VLOOKUP(C266,'CHAS - Chicago'!$C$1:$J$2762,2,FALSE)</f>
        <v>0</v>
      </c>
      <c r="E266" t="s">
        <v>373</v>
      </c>
      <c r="F266" s="71" t="s">
        <v>367</v>
      </c>
      <c r="G266" s="71" t="s">
        <v>636</v>
      </c>
      <c r="H266" s="71" t="s">
        <v>388</v>
      </c>
      <c r="I266" s="71" t="s">
        <v>380</v>
      </c>
    </row>
    <row r="267" spans="1:9" ht="87" x14ac:dyDescent="0.35">
      <c r="A267">
        <v>2</v>
      </c>
      <c r="B267">
        <v>17</v>
      </c>
      <c r="C267" t="s">
        <v>650</v>
      </c>
      <c r="D267" s="64">
        <f>VLOOKUP(C267,'CHAS - Cook Co'!$C$1:$J$2762,2,FALSE) - VLOOKUP(C267,'CHAS - Chicago'!$C$1:$J$2762,2,FALSE)</f>
        <v>0</v>
      </c>
      <c r="E267" t="s">
        <v>373</v>
      </c>
      <c r="F267" s="71" t="s">
        <v>367</v>
      </c>
      <c r="G267" s="71" t="s">
        <v>636</v>
      </c>
      <c r="H267" s="71" t="s">
        <v>388</v>
      </c>
      <c r="I267" s="71" t="s">
        <v>382</v>
      </c>
    </row>
    <row r="268" spans="1:9" ht="87" x14ac:dyDescent="0.35">
      <c r="A268">
        <v>2</v>
      </c>
      <c r="B268">
        <v>18</v>
      </c>
      <c r="C268" t="s">
        <v>651</v>
      </c>
      <c r="D268" s="64">
        <f>VLOOKUP(C268,'CHAS - Cook Co'!$C$1:$J$2762,2,FALSE) - VLOOKUP(C268,'CHAS - Chicago'!$C$1:$J$2762,2,FALSE)</f>
        <v>5085</v>
      </c>
      <c r="E268" t="s">
        <v>373</v>
      </c>
      <c r="F268" s="71" t="s">
        <v>367</v>
      </c>
      <c r="G268" s="71" t="s">
        <v>636</v>
      </c>
      <c r="H268" s="71" t="s">
        <v>388</v>
      </c>
      <c r="I268" s="71" t="s">
        <v>384</v>
      </c>
    </row>
    <row r="269" spans="1:9" ht="87" x14ac:dyDescent="0.35">
      <c r="A269">
        <v>2</v>
      </c>
      <c r="B269">
        <v>19</v>
      </c>
      <c r="C269" t="s">
        <v>652</v>
      </c>
      <c r="D269" s="64">
        <f>VLOOKUP(C269,'CHAS - Cook Co'!$C$1:$J$2762,2,FALSE) - VLOOKUP(C269,'CHAS - Chicago'!$C$1:$J$2762,2,FALSE)</f>
        <v>205</v>
      </c>
      <c r="E269" t="s">
        <v>373</v>
      </c>
      <c r="F269" s="71" t="s">
        <v>367</v>
      </c>
      <c r="G269" s="71" t="s">
        <v>636</v>
      </c>
      <c r="H269" s="71" t="s">
        <v>388</v>
      </c>
      <c r="I269" s="71" t="s">
        <v>386</v>
      </c>
    </row>
    <row r="270" spans="1:9" ht="87" x14ac:dyDescent="0.35">
      <c r="A270">
        <v>2</v>
      </c>
      <c r="B270">
        <v>20</v>
      </c>
      <c r="C270" t="s">
        <v>653</v>
      </c>
      <c r="D270" s="64">
        <f>VLOOKUP(C270,'CHAS - Cook Co'!$C$1:$J$2762,2,FALSE) - VLOOKUP(C270,'CHAS - Chicago'!$C$1:$J$2762,2,FALSE)</f>
        <v>18040</v>
      </c>
      <c r="E270" t="s">
        <v>366</v>
      </c>
      <c r="F270" s="71" t="s">
        <v>367</v>
      </c>
      <c r="G270" s="71" t="s">
        <v>636</v>
      </c>
      <c r="H270" s="71" t="s">
        <v>397</v>
      </c>
      <c r="I270" s="71" t="s">
        <v>364</v>
      </c>
    </row>
    <row r="271" spans="1:9" ht="87" x14ac:dyDescent="0.35">
      <c r="A271">
        <v>2</v>
      </c>
      <c r="B271">
        <v>21</v>
      </c>
      <c r="C271" t="s">
        <v>654</v>
      </c>
      <c r="D271" s="64">
        <f>VLOOKUP(C271,'CHAS - Cook Co'!$C$1:$J$2762,2,FALSE) - VLOOKUP(C271,'CHAS - Chicago'!$C$1:$J$2762,2,FALSE)</f>
        <v>10740</v>
      </c>
      <c r="E271" t="s">
        <v>373</v>
      </c>
      <c r="F271" s="71" t="s">
        <v>367</v>
      </c>
      <c r="G271" s="71" t="s">
        <v>636</v>
      </c>
      <c r="H271" s="71" t="s">
        <v>397</v>
      </c>
      <c r="I271" s="71" t="s">
        <v>374</v>
      </c>
    </row>
    <row r="272" spans="1:9" ht="87" x14ac:dyDescent="0.35">
      <c r="A272">
        <v>2</v>
      </c>
      <c r="B272">
        <v>22</v>
      </c>
      <c r="C272" t="s">
        <v>655</v>
      </c>
      <c r="D272" s="64">
        <f>VLOOKUP(C272,'CHAS - Cook Co'!$C$1:$J$2762,2,FALSE) - VLOOKUP(C272,'CHAS - Chicago'!$C$1:$J$2762,2,FALSE)</f>
        <v>2375</v>
      </c>
      <c r="E272" t="s">
        <v>373</v>
      </c>
      <c r="F272" s="71" t="s">
        <v>367</v>
      </c>
      <c r="G272" s="71" t="s">
        <v>636</v>
      </c>
      <c r="H272" s="71" t="s">
        <v>397</v>
      </c>
      <c r="I272" s="71" t="s">
        <v>376</v>
      </c>
    </row>
    <row r="273" spans="1:9" ht="87" x14ac:dyDescent="0.35">
      <c r="A273">
        <v>2</v>
      </c>
      <c r="B273">
        <v>23</v>
      </c>
      <c r="C273" t="s">
        <v>656</v>
      </c>
      <c r="D273" s="64">
        <f>VLOOKUP(C273,'CHAS - Cook Co'!$C$1:$J$2762,2,FALSE) - VLOOKUP(C273,'CHAS - Chicago'!$C$1:$J$2762,2,FALSE)</f>
        <v>1345</v>
      </c>
      <c r="E273" t="s">
        <v>373</v>
      </c>
      <c r="F273" s="71" t="s">
        <v>367</v>
      </c>
      <c r="G273" s="71" t="s">
        <v>636</v>
      </c>
      <c r="H273" s="71" t="s">
        <v>397</v>
      </c>
      <c r="I273" s="71" t="s">
        <v>378</v>
      </c>
    </row>
    <row r="274" spans="1:9" ht="87" x14ac:dyDescent="0.35">
      <c r="A274">
        <v>2</v>
      </c>
      <c r="B274">
        <v>24</v>
      </c>
      <c r="C274" t="s">
        <v>657</v>
      </c>
      <c r="D274" s="64">
        <f>VLOOKUP(C274,'CHAS - Cook Co'!$C$1:$J$2762,2,FALSE) - VLOOKUP(C274,'CHAS - Chicago'!$C$1:$J$2762,2,FALSE)</f>
        <v>0</v>
      </c>
      <c r="E274" t="s">
        <v>373</v>
      </c>
      <c r="F274" s="71" t="s">
        <v>367</v>
      </c>
      <c r="G274" s="71" t="s">
        <v>636</v>
      </c>
      <c r="H274" s="71" t="s">
        <v>397</v>
      </c>
      <c r="I274" s="71" t="s">
        <v>380</v>
      </c>
    </row>
    <row r="275" spans="1:9" ht="87" x14ac:dyDescent="0.35">
      <c r="A275">
        <v>2</v>
      </c>
      <c r="B275">
        <v>25</v>
      </c>
      <c r="C275" t="s">
        <v>658</v>
      </c>
      <c r="D275" s="64">
        <f>VLOOKUP(C275,'CHAS - Cook Co'!$C$1:$J$2762,2,FALSE) - VLOOKUP(C275,'CHAS - Chicago'!$C$1:$J$2762,2,FALSE)</f>
        <v>0</v>
      </c>
      <c r="E275" t="s">
        <v>373</v>
      </c>
      <c r="F275" s="71" t="s">
        <v>367</v>
      </c>
      <c r="G275" s="71" t="s">
        <v>636</v>
      </c>
      <c r="H275" s="71" t="s">
        <v>397</v>
      </c>
      <c r="I275" s="71" t="s">
        <v>382</v>
      </c>
    </row>
    <row r="276" spans="1:9" ht="87" x14ac:dyDescent="0.35">
      <c r="A276">
        <v>2</v>
      </c>
      <c r="B276">
        <v>26</v>
      </c>
      <c r="C276" t="s">
        <v>659</v>
      </c>
      <c r="D276" s="64">
        <f>VLOOKUP(C276,'CHAS - Cook Co'!$C$1:$J$2762,2,FALSE) - VLOOKUP(C276,'CHAS - Chicago'!$C$1:$J$2762,2,FALSE)</f>
        <v>3410</v>
      </c>
      <c r="E276" t="s">
        <v>373</v>
      </c>
      <c r="F276" s="71" t="s">
        <v>367</v>
      </c>
      <c r="G276" s="71" t="s">
        <v>636</v>
      </c>
      <c r="H276" s="71" t="s">
        <v>397</v>
      </c>
      <c r="I276" s="71" t="s">
        <v>384</v>
      </c>
    </row>
    <row r="277" spans="1:9" ht="87" x14ac:dyDescent="0.35">
      <c r="A277">
        <v>2</v>
      </c>
      <c r="B277">
        <v>27</v>
      </c>
      <c r="C277" t="s">
        <v>660</v>
      </c>
      <c r="D277" s="64">
        <f>VLOOKUP(C277,'CHAS - Cook Co'!$C$1:$J$2762,2,FALSE) - VLOOKUP(C277,'CHAS - Chicago'!$C$1:$J$2762,2,FALSE)</f>
        <v>170</v>
      </c>
      <c r="E277" t="s">
        <v>373</v>
      </c>
      <c r="F277" s="71" t="s">
        <v>367</v>
      </c>
      <c r="G277" s="71" t="s">
        <v>636</v>
      </c>
      <c r="H277" s="71" t="s">
        <v>397</v>
      </c>
      <c r="I277" s="71" t="s">
        <v>386</v>
      </c>
    </row>
    <row r="278" spans="1:9" ht="87" x14ac:dyDescent="0.35">
      <c r="A278">
        <v>2</v>
      </c>
      <c r="B278">
        <v>28</v>
      </c>
      <c r="C278" t="s">
        <v>661</v>
      </c>
      <c r="D278" s="64">
        <f>VLOOKUP(C278,'CHAS - Cook Co'!$C$1:$J$2762,2,FALSE) - VLOOKUP(C278,'CHAS - Chicago'!$C$1:$J$2762,2,FALSE)</f>
        <v>5530</v>
      </c>
      <c r="E278" t="s">
        <v>366</v>
      </c>
      <c r="F278" s="71" t="s">
        <v>367</v>
      </c>
      <c r="G278" s="71" t="s">
        <v>636</v>
      </c>
      <c r="H278" s="71" t="s">
        <v>406</v>
      </c>
      <c r="I278" s="71" t="s">
        <v>364</v>
      </c>
    </row>
    <row r="279" spans="1:9" ht="87" x14ac:dyDescent="0.35">
      <c r="A279">
        <v>2</v>
      </c>
      <c r="B279">
        <v>29</v>
      </c>
      <c r="C279" t="s">
        <v>662</v>
      </c>
      <c r="D279" s="64">
        <f>VLOOKUP(C279,'CHAS - Cook Co'!$C$1:$J$2762,2,FALSE) - VLOOKUP(C279,'CHAS - Chicago'!$C$1:$J$2762,2,FALSE)</f>
        <v>3290</v>
      </c>
      <c r="E279" t="s">
        <v>373</v>
      </c>
      <c r="F279" s="71" t="s">
        <v>367</v>
      </c>
      <c r="G279" s="71" t="s">
        <v>636</v>
      </c>
      <c r="H279" s="71" t="s">
        <v>406</v>
      </c>
      <c r="I279" s="71" t="s">
        <v>374</v>
      </c>
    </row>
    <row r="280" spans="1:9" ht="87" x14ac:dyDescent="0.35">
      <c r="A280">
        <v>2</v>
      </c>
      <c r="B280">
        <v>30</v>
      </c>
      <c r="C280" t="s">
        <v>663</v>
      </c>
      <c r="D280" s="64">
        <f>VLOOKUP(C280,'CHAS - Cook Co'!$C$1:$J$2762,2,FALSE) - VLOOKUP(C280,'CHAS - Chicago'!$C$1:$J$2762,2,FALSE)</f>
        <v>620</v>
      </c>
      <c r="E280" t="s">
        <v>373</v>
      </c>
      <c r="F280" s="71" t="s">
        <v>367</v>
      </c>
      <c r="G280" s="71" t="s">
        <v>636</v>
      </c>
      <c r="H280" s="71" t="s">
        <v>406</v>
      </c>
      <c r="I280" s="71" t="s">
        <v>376</v>
      </c>
    </row>
    <row r="281" spans="1:9" ht="87" x14ac:dyDescent="0.35">
      <c r="A281">
        <v>2</v>
      </c>
      <c r="B281">
        <v>31</v>
      </c>
      <c r="C281" t="s">
        <v>664</v>
      </c>
      <c r="D281" s="64">
        <f>VLOOKUP(C281,'CHAS - Cook Co'!$C$1:$J$2762,2,FALSE) - VLOOKUP(C281,'CHAS - Chicago'!$C$1:$J$2762,2,FALSE)</f>
        <v>450</v>
      </c>
      <c r="E281" t="s">
        <v>373</v>
      </c>
      <c r="F281" s="71" t="s">
        <v>367</v>
      </c>
      <c r="G281" s="71" t="s">
        <v>636</v>
      </c>
      <c r="H281" s="71" t="s">
        <v>406</v>
      </c>
      <c r="I281" s="71" t="s">
        <v>378</v>
      </c>
    </row>
    <row r="282" spans="1:9" ht="87" x14ac:dyDescent="0.35">
      <c r="A282">
        <v>2</v>
      </c>
      <c r="B282">
        <v>32</v>
      </c>
      <c r="C282" t="s">
        <v>665</v>
      </c>
      <c r="D282" s="64">
        <f>VLOOKUP(C282,'CHAS - Cook Co'!$C$1:$J$2762,2,FALSE) - VLOOKUP(C282,'CHAS - Chicago'!$C$1:$J$2762,2,FALSE)</f>
        <v>0</v>
      </c>
      <c r="E282" t="s">
        <v>373</v>
      </c>
      <c r="F282" s="71" t="s">
        <v>367</v>
      </c>
      <c r="G282" s="71" t="s">
        <v>636</v>
      </c>
      <c r="H282" s="71" t="s">
        <v>406</v>
      </c>
      <c r="I282" s="71" t="s">
        <v>380</v>
      </c>
    </row>
    <row r="283" spans="1:9" ht="87" x14ac:dyDescent="0.35">
      <c r="A283">
        <v>2</v>
      </c>
      <c r="B283">
        <v>33</v>
      </c>
      <c r="C283" t="s">
        <v>666</v>
      </c>
      <c r="D283" s="64">
        <f>VLOOKUP(C283,'CHAS - Cook Co'!$C$1:$J$2762,2,FALSE) - VLOOKUP(C283,'CHAS - Chicago'!$C$1:$J$2762,2,FALSE)</f>
        <v>0</v>
      </c>
      <c r="E283" t="s">
        <v>373</v>
      </c>
      <c r="F283" s="71" t="s">
        <v>367</v>
      </c>
      <c r="G283" s="71" t="s">
        <v>636</v>
      </c>
      <c r="H283" s="71" t="s">
        <v>406</v>
      </c>
      <c r="I283" s="71" t="s">
        <v>382</v>
      </c>
    </row>
    <row r="284" spans="1:9" ht="87" x14ac:dyDescent="0.35">
      <c r="A284">
        <v>2</v>
      </c>
      <c r="B284">
        <v>34</v>
      </c>
      <c r="C284" t="s">
        <v>667</v>
      </c>
      <c r="D284" s="64">
        <f>VLOOKUP(C284,'CHAS - Cook Co'!$C$1:$J$2762,2,FALSE) - VLOOKUP(C284,'CHAS - Chicago'!$C$1:$J$2762,2,FALSE)</f>
        <v>1135</v>
      </c>
      <c r="E284" t="s">
        <v>373</v>
      </c>
      <c r="F284" s="71" t="s">
        <v>367</v>
      </c>
      <c r="G284" s="71" t="s">
        <v>636</v>
      </c>
      <c r="H284" s="71" t="s">
        <v>406</v>
      </c>
      <c r="I284" s="71" t="s">
        <v>384</v>
      </c>
    </row>
    <row r="285" spans="1:9" ht="87" x14ac:dyDescent="0.35">
      <c r="A285">
        <v>2</v>
      </c>
      <c r="B285">
        <v>35</v>
      </c>
      <c r="C285" t="s">
        <v>668</v>
      </c>
      <c r="D285" s="64">
        <f>VLOOKUP(C285,'CHAS - Cook Co'!$C$1:$J$2762,2,FALSE) - VLOOKUP(C285,'CHAS - Chicago'!$C$1:$J$2762,2,FALSE)</f>
        <v>35</v>
      </c>
      <c r="E285" t="s">
        <v>373</v>
      </c>
      <c r="F285" s="71" t="s">
        <v>367</v>
      </c>
      <c r="G285" s="71" t="s">
        <v>636</v>
      </c>
      <c r="H285" s="71" t="s">
        <v>406</v>
      </c>
      <c r="I285" s="71" t="s">
        <v>386</v>
      </c>
    </row>
    <row r="286" spans="1:9" ht="87" x14ac:dyDescent="0.35">
      <c r="A286">
        <v>2</v>
      </c>
      <c r="B286">
        <v>36</v>
      </c>
      <c r="C286" t="s">
        <v>669</v>
      </c>
      <c r="D286" s="64">
        <f>VLOOKUP(C286,'CHAS - Cook Co'!$C$1:$J$2762,2,FALSE) - VLOOKUP(C286,'CHAS - Chicago'!$C$1:$J$2762,2,FALSE)</f>
        <v>8140</v>
      </c>
      <c r="E286" t="s">
        <v>366</v>
      </c>
      <c r="F286" s="71" t="s">
        <v>367</v>
      </c>
      <c r="G286" s="71" t="s">
        <v>636</v>
      </c>
      <c r="H286" s="71" t="s">
        <v>415</v>
      </c>
      <c r="I286" s="71" t="s">
        <v>364</v>
      </c>
    </row>
    <row r="287" spans="1:9" ht="87" x14ac:dyDescent="0.35">
      <c r="A287">
        <v>2</v>
      </c>
      <c r="B287">
        <v>37</v>
      </c>
      <c r="C287" t="s">
        <v>670</v>
      </c>
      <c r="D287" s="64">
        <f>VLOOKUP(C287,'CHAS - Cook Co'!$C$1:$J$2762,2,FALSE) - VLOOKUP(C287,'CHAS - Chicago'!$C$1:$J$2762,2,FALSE)</f>
        <v>4585</v>
      </c>
      <c r="E287" t="s">
        <v>373</v>
      </c>
      <c r="F287" s="71" t="s">
        <v>367</v>
      </c>
      <c r="G287" s="71" t="s">
        <v>636</v>
      </c>
      <c r="H287" s="71" t="s">
        <v>415</v>
      </c>
      <c r="I287" s="71" t="s">
        <v>374</v>
      </c>
    </row>
    <row r="288" spans="1:9" ht="87" x14ac:dyDescent="0.35">
      <c r="A288">
        <v>2</v>
      </c>
      <c r="B288">
        <v>38</v>
      </c>
      <c r="C288" t="s">
        <v>671</v>
      </c>
      <c r="D288" s="64">
        <f>VLOOKUP(C288,'CHAS - Cook Co'!$C$1:$J$2762,2,FALSE) - VLOOKUP(C288,'CHAS - Chicago'!$C$1:$J$2762,2,FALSE)</f>
        <v>595</v>
      </c>
      <c r="E288" t="s">
        <v>373</v>
      </c>
      <c r="F288" s="71" t="s">
        <v>367</v>
      </c>
      <c r="G288" s="71" t="s">
        <v>636</v>
      </c>
      <c r="H288" s="71" t="s">
        <v>415</v>
      </c>
      <c r="I288" s="71" t="s">
        <v>376</v>
      </c>
    </row>
    <row r="289" spans="1:9" ht="87" x14ac:dyDescent="0.35">
      <c r="A289">
        <v>2</v>
      </c>
      <c r="B289">
        <v>39</v>
      </c>
      <c r="C289" t="s">
        <v>672</v>
      </c>
      <c r="D289" s="64">
        <f>VLOOKUP(C289,'CHAS - Cook Co'!$C$1:$J$2762,2,FALSE) - VLOOKUP(C289,'CHAS - Chicago'!$C$1:$J$2762,2,FALSE)</f>
        <v>1245</v>
      </c>
      <c r="E289" t="s">
        <v>373</v>
      </c>
      <c r="F289" s="71" t="s">
        <v>367</v>
      </c>
      <c r="G289" s="71" t="s">
        <v>636</v>
      </c>
      <c r="H289" s="71" t="s">
        <v>415</v>
      </c>
      <c r="I289" s="71" t="s">
        <v>378</v>
      </c>
    </row>
    <row r="290" spans="1:9" ht="87" x14ac:dyDescent="0.35">
      <c r="A290">
        <v>2</v>
      </c>
      <c r="B290">
        <v>40</v>
      </c>
      <c r="C290" t="s">
        <v>673</v>
      </c>
      <c r="D290" s="64">
        <f>VLOOKUP(C290,'CHAS - Cook Co'!$C$1:$J$2762,2,FALSE) - VLOOKUP(C290,'CHAS - Chicago'!$C$1:$J$2762,2,FALSE)</f>
        <v>0</v>
      </c>
      <c r="E290" t="s">
        <v>373</v>
      </c>
      <c r="F290" s="71" t="s">
        <v>367</v>
      </c>
      <c r="G290" s="71" t="s">
        <v>636</v>
      </c>
      <c r="H290" s="71" t="s">
        <v>415</v>
      </c>
      <c r="I290" s="71" t="s">
        <v>380</v>
      </c>
    </row>
    <row r="291" spans="1:9" ht="87" x14ac:dyDescent="0.35">
      <c r="A291">
        <v>2</v>
      </c>
      <c r="B291">
        <v>41</v>
      </c>
      <c r="C291" t="s">
        <v>674</v>
      </c>
      <c r="D291" s="64">
        <f>VLOOKUP(C291,'CHAS - Cook Co'!$C$1:$J$2762,2,FALSE) - VLOOKUP(C291,'CHAS - Chicago'!$C$1:$J$2762,2,FALSE)</f>
        <v>0</v>
      </c>
      <c r="E291" t="s">
        <v>373</v>
      </c>
      <c r="F291" s="71" t="s">
        <v>367</v>
      </c>
      <c r="G291" s="71" t="s">
        <v>636</v>
      </c>
      <c r="H291" s="71" t="s">
        <v>415</v>
      </c>
      <c r="I291" s="71" t="s">
        <v>382</v>
      </c>
    </row>
    <row r="292" spans="1:9" ht="87" x14ac:dyDescent="0.35">
      <c r="A292">
        <v>2</v>
      </c>
      <c r="B292">
        <v>42</v>
      </c>
      <c r="C292" t="s">
        <v>675</v>
      </c>
      <c r="D292" s="64">
        <f>VLOOKUP(C292,'CHAS - Cook Co'!$C$1:$J$2762,2,FALSE) - VLOOKUP(C292,'CHAS - Chicago'!$C$1:$J$2762,2,FALSE)</f>
        <v>1675</v>
      </c>
      <c r="E292" t="s">
        <v>373</v>
      </c>
      <c r="F292" s="71" t="s">
        <v>367</v>
      </c>
      <c r="G292" s="71" t="s">
        <v>636</v>
      </c>
      <c r="H292" s="71" t="s">
        <v>415</v>
      </c>
      <c r="I292" s="71" t="s">
        <v>384</v>
      </c>
    </row>
    <row r="293" spans="1:9" ht="87" x14ac:dyDescent="0.35">
      <c r="A293">
        <v>2</v>
      </c>
      <c r="B293">
        <v>43</v>
      </c>
      <c r="C293" t="s">
        <v>676</v>
      </c>
      <c r="D293" s="64">
        <f>VLOOKUP(C293,'CHAS - Cook Co'!$C$1:$J$2762,2,FALSE) - VLOOKUP(C293,'CHAS - Chicago'!$C$1:$J$2762,2,FALSE)</f>
        <v>40</v>
      </c>
      <c r="E293" t="s">
        <v>373</v>
      </c>
      <c r="F293" s="71" t="s">
        <v>367</v>
      </c>
      <c r="G293" s="71" t="s">
        <v>636</v>
      </c>
      <c r="H293" s="71" t="s">
        <v>415</v>
      </c>
      <c r="I293" s="71" t="s">
        <v>386</v>
      </c>
    </row>
    <row r="294" spans="1:9" ht="43.5" x14ac:dyDescent="0.35">
      <c r="A294">
        <v>2</v>
      </c>
      <c r="B294">
        <v>44</v>
      </c>
      <c r="C294" t="s">
        <v>677</v>
      </c>
      <c r="D294" s="64">
        <f>VLOOKUP(C294,'CHAS - Cook Co'!$C$1:$J$2762,2,FALSE) - VLOOKUP(C294,'CHAS - Chicago'!$C$1:$J$2762,2,FALSE)</f>
        <v>544025</v>
      </c>
      <c r="E294" t="s">
        <v>366</v>
      </c>
      <c r="F294" s="71" t="s">
        <v>367</v>
      </c>
      <c r="G294" s="71" t="s">
        <v>678</v>
      </c>
      <c r="H294" s="71" t="s">
        <v>363</v>
      </c>
      <c r="I294" s="71" t="s">
        <v>364</v>
      </c>
    </row>
    <row r="295" spans="1:9" ht="43.5" x14ac:dyDescent="0.35">
      <c r="A295">
        <v>2</v>
      </c>
      <c r="B295">
        <v>45</v>
      </c>
      <c r="C295" t="s">
        <v>679</v>
      </c>
      <c r="D295" s="64">
        <f>VLOOKUP(C295,'CHAS - Cook Co'!$C$1:$J$2762,2,FALSE) - VLOOKUP(C295,'CHAS - Chicago'!$C$1:$J$2762,2,FALSE)</f>
        <v>11625</v>
      </c>
      <c r="E295" t="s">
        <v>366</v>
      </c>
      <c r="F295" s="71" t="s">
        <v>367</v>
      </c>
      <c r="G295" s="71" t="s">
        <v>678</v>
      </c>
      <c r="H295" s="71" t="s">
        <v>371</v>
      </c>
      <c r="I295" s="71" t="s">
        <v>364</v>
      </c>
    </row>
    <row r="296" spans="1:9" ht="43.5" x14ac:dyDescent="0.35">
      <c r="A296">
        <v>2</v>
      </c>
      <c r="B296">
        <v>46</v>
      </c>
      <c r="C296" t="s">
        <v>680</v>
      </c>
      <c r="D296" s="64">
        <f>VLOOKUP(C296,'CHAS - Cook Co'!$C$1:$J$2762,2,FALSE) - VLOOKUP(C296,'CHAS - Chicago'!$C$1:$J$2762,2,FALSE)</f>
        <v>8650</v>
      </c>
      <c r="E296" t="s">
        <v>373</v>
      </c>
      <c r="F296" s="71" t="s">
        <v>367</v>
      </c>
      <c r="G296" s="71" t="s">
        <v>678</v>
      </c>
      <c r="H296" s="71" t="s">
        <v>371</v>
      </c>
      <c r="I296" s="71" t="s">
        <v>374</v>
      </c>
    </row>
    <row r="297" spans="1:9" ht="43.5" x14ac:dyDescent="0.35">
      <c r="A297">
        <v>2</v>
      </c>
      <c r="B297">
        <v>47</v>
      </c>
      <c r="C297" t="s">
        <v>681</v>
      </c>
      <c r="D297" s="64">
        <f>VLOOKUP(C297,'CHAS - Cook Co'!$C$1:$J$2762,2,FALSE) - VLOOKUP(C297,'CHAS - Chicago'!$C$1:$J$2762,2,FALSE)</f>
        <v>1380</v>
      </c>
      <c r="E297" t="s">
        <v>373</v>
      </c>
      <c r="F297" s="71" t="s">
        <v>367</v>
      </c>
      <c r="G297" s="71" t="s">
        <v>678</v>
      </c>
      <c r="H297" s="71" t="s">
        <v>371</v>
      </c>
      <c r="I297" s="71" t="s">
        <v>376</v>
      </c>
    </row>
    <row r="298" spans="1:9" ht="43.5" x14ac:dyDescent="0.35">
      <c r="A298">
        <v>2</v>
      </c>
      <c r="B298">
        <v>48</v>
      </c>
      <c r="C298" t="s">
        <v>682</v>
      </c>
      <c r="D298" s="64">
        <f>VLOOKUP(C298,'CHAS - Cook Co'!$C$1:$J$2762,2,FALSE) - VLOOKUP(C298,'CHAS - Chicago'!$C$1:$J$2762,2,FALSE)</f>
        <v>310</v>
      </c>
      <c r="E298" t="s">
        <v>373</v>
      </c>
      <c r="F298" s="71" t="s">
        <v>367</v>
      </c>
      <c r="G298" s="71" t="s">
        <v>678</v>
      </c>
      <c r="H298" s="71" t="s">
        <v>371</v>
      </c>
      <c r="I298" s="71" t="s">
        <v>378</v>
      </c>
    </row>
    <row r="299" spans="1:9" ht="43.5" x14ac:dyDescent="0.35">
      <c r="A299">
        <v>2</v>
      </c>
      <c r="B299">
        <v>49</v>
      </c>
      <c r="C299" t="s">
        <v>683</v>
      </c>
      <c r="D299" s="64">
        <f>VLOOKUP(C299,'CHAS - Cook Co'!$C$1:$J$2762,2,FALSE) - VLOOKUP(C299,'CHAS - Chicago'!$C$1:$J$2762,2,FALSE)</f>
        <v>65</v>
      </c>
      <c r="E299" t="s">
        <v>373</v>
      </c>
      <c r="F299" s="71" t="s">
        <v>367</v>
      </c>
      <c r="G299" s="71" t="s">
        <v>678</v>
      </c>
      <c r="H299" s="71" t="s">
        <v>371</v>
      </c>
      <c r="I299" s="71" t="s">
        <v>380</v>
      </c>
    </row>
    <row r="300" spans="1:9" ht="43.5" x14ac:dyDescent="0.35">
      <c r="A300">
        <v>2</v>
      </c>
      <c r="B300">
        <v>50</v>
      </c>
      <c r="C300" t="s">
        <v>684</v>
      </c>
      <c r="D300" s="64">
        <f>VLOOKUP(C300,'CHAS - Cook Co'!$C$1:$J$2762,2,FALSE) - VLOOKUP(C300,'CHAS - Chicago'!$C$1:$J$2762,2,FALSE)</f>
        <v>0</v>
      </c>
      <c r="E300" t="s">
        <v>373</v>
      </c>
      <c r="F300" s="71" t="s">
        <v>367</v>
      </c>
      <c r="G300" s="71" t="s">
        <v>678</v>
      </c>
      <c r="H300" s="71" t="s">
        <v>371</v>
      </c>
      <c r="I300" s="71" t="s">
        <v>382</v>
      </c>
    </row>
    <row r="301" spans="1:9" ht="43.5" x14ac:dyDescent="0.35">
      <c r="A301">
        <v>2</v>
      </c>
      <c r="B301">
        <v>51</v>
      </c>
      <c r="C301" t="s">
        <v>685</v>
      </c>
      <c r="D301" s="64">
        <f>VLOOKUP(C301,'CHAS - Cook Co'!$C$1:$J$2762,2,FALSE) - VLOOKUP(C301,'CHAS - Chicago'!$C$1:$J$2762,2,FALSE)</f>
        <v>1160</v>
      </c>
      <c r="E301" t="s">
        <v>373</v>
      </c>
      <c r="F301" s="71" t="s">
        <v>367</v>
      </c>
      <c r="G301" s="71" t="s">
        <v>678</v>
      </c>
      <c r="H301" s="71" t="s">
        <v>371</v>
      </c>
      <c r="I301" s="71" t="s">
        <v>384</v>
      </c>
    </row>
    <row r="302" spans="1:9" ht="43.5" x14ac:dyDescent="0.35">
      <c r="A302">
        <v>2</v>
      </c>
      <c r="B302">
        <v>52</v>
      </c>
      <c r="C302" t="s">
        <v>686</v>
      </c>
      <c r="D302" s="64">
        <f>VLOOKUP(C302,'CHAS - Cook Co'!$C$1:$J$2762,2,FALSE) - VLOOKUP(C302,'CHAS - Chicago'!$C$1:$J$2762,2,FALSE)</f>
        <v>70</v>
      </c>
      <c r="E302" t="s">
        <v>373</v>
      </c>
      <c r="F302" s="71" t="s">
        <v>367</v>
      </c>
      <c r="G302" s="71" t="s">
        <v>678</v>
      </c>
      <c r="H302" s="71" t="s">
        <v>371</v>
      </c>
      <c r="I302" s="71" t="s">
        <v>386</v>
      </c>
    </row>
    <row r="303" spans="1:9" ht="43.5" x14ac:dyDescent="0.35">
      <c r="A303">
        <v>2</v>
      </c>
      <c r="B303">
        <v>53</v>
      </c>
      <c r="C303" t="s">
        <v>687</v>
      </c>
      <c r="D303" s="64">
        <f>VLOOKUP(C303,'CHAS - Cook Co'!$C$1:$J$2762,2,FALSE) - VLOOKUP(C303,'CHAS - Chicago'!$C$1:$J$2762,2,FALSE)</f>
        <v>40395</v>
      </c>
      <c r="E303" t="s">
        <v>366</v>
      </c>
      <c r="F303" s="71" t="s">
        <v>367</v>
      </c>
      <c r="G303" s="71" t="s">
        <v>678</v>
      </c>
      <c r="H303" s="71" t="s">
        <v>388</v>
      </c>
      <c r="I303" s="71" t="s">
        <v>364</v>
      </c>
    </row>
    <row r="304" spans="1:9" ht="43.5" x14ac:dyDescent="0.35">
      <c r="A304">
        <v>2</v>
      </c>
      <c r="B304">
        <v>54</v>
      </c>
      <c r="C304" t="s">
        <v>688</v>
      </c>
      <c r="D304" s="64">
        <f>VLOOKUP(C304,'CHAS - Cook Co'!$C$1:$J$2762,2,FALSE) - VLOOKUP(C304,'CHAS - Chicago'!$C$1:$J$2762,2,FALSE)</f>
        <v>29035</v>
      </c>
      <c r="E304" t="s">
        <v>373</v>
      </c>
      <c r="F304" s="71" t="s">
        <v>367</v>
      </c>
      <c r="G304" s="71" t="s">
        <v>678</v>
      </c>
      <c r="H304" s="71" t="s">
        <v>388</v>
      </c>
      <c r="I304" s="71" t="s">
        <v>374</v>
      </c>
    </row>
    <row r="305" spans="1:9" ht="43.5" x14ac:dyDescent="0.35">
      <c r="A305">
        <v>2</v>
      </c>
      <c r="B305">
        <v>55</v>
      </c>
      <c r="C305" t="s">
        <v>689</v>
      </c>
      <c r="D305" s="64">
        <f>VLOOKUP(C305,'CHAS - Cook Co'!$C$1:$J$2762,2,FALSE) - VLOOKUP(C305,'CHAS - Chicago'!$C$1:$J$2762,2,FALSE)</f>
        <v>4530</v>
      </c>
      <c r="E305" t="s">
        <v>373</v>
      </c>
      <c r="F305" s="71" t="s">
        <v>367</v>
      </c>
      <c r="G305" s="71" t="s">
        <v>678</v>
      </c>
      <c r="H305" s="71" t="s">
        <v>388</v>
      </c>
      <c r="I305" s="71" t="s">
        <v>376</v>
      </c>
    </row>
    <row r="306" spans="1:9" ht="43.5" x14ac:dyDescent="0.35">
      <c r="A306">
        <v>2</v>
      </c>
      <c r="B306">
        <v>56</v>
      </c>
      <c r="C306" t="s">
        <v>690</v>
      </c>
      <c r="D306" s="64">
        <f>VLOOKUP(C306,'CHAS - Cook Co'!$C$1:$J$2762,2,FALSE) - VLOOKUP(C306,'CHAS - Chicago'!$C$1:$J$2762,2,FALSE)</f>
        <v>1290</v>
      </c>
      <c r="E306" t="s">
        <v>373</v>
      </c>
      <c r="F306" s="71" t="s">
        <v>367</v>
      </c>
      <c r="G306" s="71" t="s">
        <v>678</v>
      </c>
      <c r="H306" s="71" t="s">
        <v>388</v>
      </c>
      <c r="I306" s="71" t="s">
        <v>378</v>
      </c>
    </row>
    <row r="307" spans="1:9" ht="43.5" x14ac:dyDescent="0.35">
      <c r="A307">
        <v>2</v>
      </c>
      <c r="B307">
        <v>57</v>
      </c>
      <c r="C307" t="s">
        <v>691</v>
      </c>
      <c r="D307" s="64">
        <f>VLOOKUP(C307,'CHAS - Cook Co'!$C$1:$J$2762,2,FALSE) - VLOOKUP(C307,'CHAS - Chicago'!$C$1:$J$2762,2,FALSE)</f>
        <v>55</v>
      </c>
      <c r="E307" t="s">
        <v>373</v>
      </c>
      <c r="F307" s="71" t="s">
        <v>367</v>
      </c>
      <c r="G307" s="71" t="s">
        <v>678</v>
      </c>
      <c r="H307" s="71" t="s">
        <v>388</v>
      </c>
      <c r="I307" s="71" t="s">
        <v>380</v>
      </c>
    </row>
    <row r="308" spans="1:9" ht="43.5" x14ac:dyDescent="0.35">
      <c r="A308">
        <v>2</v>
      </c>
      <c r="B308">
        <v>58</v>
      </c>
      <c r="C308" t="s">
        <v>692</v>
      </c>
      <c r="D308" s="64">
        <f>VLOOKUP(C308,'CHAS - Cook Co'!$C$1:$J$2762,2,FALSE) - VLOOKUP(C308,'CHAS - Chicago'!$C$1:$J$2762,2,FALSE)</f>
        <v>0</v>
      </c>
      <c r="E308" t="s">
        <v>373</v>
      </c>
      <c r="F308" s="71" t="s">
        <v>367</v>
      </c>
      <c r="G308" s="71" t="s">
        <v>678</v>
      </c>
      <c r="H308" s="71" t="s">
        <v>388</v>
      </c>
      <c r="I308" s="71" t="s">
        <v>382</v>
      </c>
    </row>
    <row r="309" spans="1:9" ht="43.5" x14ac:dyDescent="0.35">
      <c r="A309">
        <v>2</v>
      </c>
      <c r="B309">
        <v>59</v>
      </c>
      <c r="C309" t="s">
        <v>693</v>
      </c>
      <c r="D309" s="64">
        <f>VLOOKUP(C309,'CHAS - Cook Co'!$C$1:$J$2762,2,FALSE) - VLOOKUP(C309,'CHAS - Chicago'!$C$1:$J$2762,2,FALSE)</f>
        <v>5190</v>
      </c>
      <c r="E309" t="s">
        <v>373</v>
      </c>
      <c r="F309" s="71" t="s">
        <v>367</v>
      </c>
      <c r="G309" s="71" t="s">
        <v>678</v>
      </c>
      <c r="H309" s="71" t="s">
        <v>388</v>
      </c>
      <c r="I309" s="71" t="s">
        <v>384</v>
      </c>
    </row>
    <row r="310" spans="1:9" ht="43.5" x14ac:dyDescent="0.35">
      <c r="A310">
        <v>2</v>
      </c>
      <c r="B310">
        <v>60</v>
      </c>
      <c r="C310" t="s">
        <v>694</v>
      </c>
      <c r="D310" s="64">
        <f>VLOOKUP(C310,'CHAS - Cook Co'!$C$1:$J$2762,2,FALSE) - VLOOKUP(C310,'CHAS - Chicago'!$C$1:$J$2762,2,FALSE)</f>
        <v>290</v>
      </c>
      <c r="E310" t="s">
        <v>373</v>
      </c>
      <c r="F310" s="71" t="s">
        <v>367</v>
      </c>
      <c r="G310" s="71" t="s">
        <v>678</v>
      </c>
      <c r="H310" s="71" t="s">
        <v>388</v>
      </c>
      <c r="I310" s="71" t="s">
        <v>386</v>
      </c>
    </row>
    <row r="311" spans="1:9" ht="43.5" x14ac:dyDescent="0.35">
      <c r="A311">
        <v>2</v>
      </c>
      <c r="B311">
        <v>61</v>
      </c>
      <c r="C311" t="s">
        <v>695</v>
      </c>
      <c r="D311" s="64">
        <f>VLOOKUP(C311,'CHAS - Cook Co'!$C$1:$J$2762,2,FALSE) - VLOOKUP(C311,'CHAS - Chicago'!$C$1:$J$2762,2,FALSE)</f>
        <v>84855</v>
      </c>
      <c r="E311" t="s">
        <v>366</v>
      </c>
      <c r="F311" s="71" t="s">
        <v>367</v>
      </c>
      <c r="G311" s="71" t="s">
        <v>678</v>
      </c>
      <c r="H311" s="71" t="s">
        <v>397</v>
      </c>
      <c r="I311" s="71" t="s">
        <v>364</v>
      </c>
    </row>
    <row r="312" spans="1:9" ht="43.5" x14ac:dyDescent="0.35">
      <c r="A312">
        <v>2</v>
      </c>
      <c r="B312">
        <v>62</v>
      </c>
      <c r="C312" t="s">
        <v>696</v>
      </c>
      <c r="D312" s="64">
        <f>VLOOKUP(C312,'CHAS - Cook Co'!$C$1:$J$2762,2,FALSE) - VLOOKUP(C312,'CHAS - Chicago'!$C$1:$J$2762,2,FALSE)</f>
        <v>55150</v>
      </c>
      <c r="E312" t="s">
        <v>373</v>
      </c>
      <c r="F312" s="71" t="s">
        <v>367</v>
      </c>
      <c r="G312" s="71" t="s">
        <v>678</v>
      </c>
      <c r="H312" s="71" t="s">
        <v>397</v>
      </c>
      <c r="I312" s="71" t="s">
        <v>374</v>
      </c>
    </row>
    <row r="313" spans="1:9" ht="43.5" x14ac:dyDescent="0.35">
      <c r="A313">
        <v>2</v>
      </c>
      <c r="B313">
        <v>63</v>
      </c>
      <c r="C313" t="s">
        <v>697</v>
      </c>
      <c r="D313" s="64">
        <f>VLOOKUP(C313,'CHAS - Cook Co'!$C$1:$J$2762,2,FALSE) - VLOOKUP(C313,'CHAS - Chicago'!$C$1:$J$2762,2,FALSE)</f>
        <v>12480</v>
      </c>
      <c r="E313" t="s">
        <v>373</v>
      </c>
      <c r="F313" s="71" t="s">
        <v>367</v>
      </c>
      <c r="G313" s="71" t="s">
        <v>678</v>
      </c>
      <c r="H313" s="71" t="s">
        <v>397</v>
      </c>
      <c r="I313" s="71" t="s">
        <v>376</v>
      </c>
    </row>
    <row r="314" spans="1:9" ht="43.5" x14ac:dyDescent="0.35">
      <c r="A314">
        <v>2</v>
      </c>
      <c r="B314">
        <v>64</v>
      </c>
      <c r="C314" t="s">
        <v>698</v>
      </c>
      <c r="D314" s="64">
        <f>VLOOKUP(C314,'CHAS - Cook Co'!$C$1:$J$2762,2,FALSE) - VLOOKUP(C314,'CHAS - Chicago'!$C$1:$J$2762,2,FALSE)</f>
        <v>3700</v>
      </c>
      <c r="E314" t="s">
        <v>373</v>
      </c>
      <c r="F314" s="71" t="s">
        <v>367</v>
      </c>
      <c r="G314" s="71" t="s">
        <v>678</v>
      </c>
      <c r="H314" s="71" t="s">
        <v>397</v>
      </c>
      <c r="I314" s="71" t="s">
        <v>378</v>
      </c>
    </row>
    <row r="315" spans="1:9" ht="43.5" x14ac:dyDescent="0.35">
      <c r="A315">
        <v>2</v>
      </c>
      <c r="B315">
        <v>65</v>
      </c>
      <c r="C315" t="s">
        <v>699</v>
      </c>
      <c r="D315" s="64">
        <f>VLOOKUP(C315,'CHAS - Cook Co'!$C$1:$J$2762,2,FALSE) - VLOOKUP(C315,'CHAS - Chicago'!$C$1:$J$2762,2,FALSE)</f>
        <v>105</v>
      </c>
      <c r="E315" t="s">
        <v>373</v>
      </c>
      <c r="F315" s="71" t="s">
        <v>367</v>
      </c>
      <c r="G315" s="71" t="s">
        <v>678</v>
      </c>
      <c r="H315" s="71" t="s">
        <v>397</v>
      </c>
      <c r="I315" s="71" t="s">
        <v>380</v>
      </c>
    </row>
    <row r="316" spans="1:9" ht="43.5" x14ac:dyDescent="0.35">
      <c r="A316">
        <v>2</v>
      </c>
      <c r="B316">
        <v>66</v>
      </c>
      <c r="C316" t="s">
        <v>700</v>
      </c>
      <c r="D316" s="64">
        <f>VLOOKUP(C316,'CHAS - Cook Co'!$C$1:$J$2762,2,FALSE) - VLOOKUP(C316,'CHAS - Chicago'!$C$1:$J$2762,2,FALSE)</f>
        <v>20</v>
      </c>
      <c r="E316" t="s">
        <v>373</v>
      </c>
      <c r="F316" s="71" t="s">
        <v>367</v>
      </c>
      <c r="G316" s="71" t="s">
        <v>678</v>
      </c>
      <c r="H316" s="71" t="s">
        <v>397</v>
      </c>
      <c r="I316" s="71" t="s">
        <v>382</v>
      </c>
    </row>
    <row r="317" spans="1:9" ht="43.5" x14ac:dyDescent="0.35">
      <c r="A317">
        <v>2</v>
      </c>
      <c r="B317">
        <v>67</v>
      </c>
      <c r="C317" t="s">
        <v>701</v>
      </c>
      <c r="D317" s="64">
        <f>VLOOKUP(C317,'CHAS - Cook Co'!$C$1:$J$2762,2,FALSE) - VLOOKUP(C317,'CHAS - Chicago'!$C$1:$J$2762,2,FALSE)</f>
        <v>12690</v>
      </c>
      <c r="E317" t="s">
        <v>373</v>
      </c>
      <c r="F317" s="71" t="s">
        <v>367</v>
      </c>
      <c r="G317" s="71" t="s">
        <v>678</v>
      </c>
      <c r="H317" s="71" t="s">
        <v>397</v>
      </c>
      <c r="I317" s="71" t="s">
        <v>384</v>
      </c>
    </row>
    <row r="318" spans="1:9" ht="43.5" x14ac:dyDescent="0.35">
      <c r="A318">
        <v>2</v>
      </c>
      <c r="B318">
        <v>68</v>
      </c>
      <c r="C318" t="s">
        <v>702</v>
      </c>
      <c r="D318" s="64">
        <f>VLOOKUP(C318,'CHAS - Cook Co'!$C$1:$J$2762,2,FALSE) - VLOOKUP(C318,'CHAS - Chicago'!$C$1:$J$2762,2,FALSE)</f>
        <v>710</v>
      </c>
      <c r="E318" t="s">
        <v>373</v>
      </c>
      <c r="F318" s="71" t="s">
        <v>367</v>
      </c>
      <c r="G318" s="71" t="s">
        <v>678</v>
      </c>
      <c r="H318" s="71" t="s">
        <v>397</v>
      </c>
      <c r="I318" s="71" t="s">
        <v>386</v>
      </c>
    </row>
    <row r="319" spans="1:9" ht="43.5" x14ac:dyDescent="0.35">
      <c r="A319">
        <v>2</v>
      </c>
      <c r="B319">
        <v>69</v>
      </c>
      <c r="C319" t="s">
        <v>703</v>
      </c>
      <c r="D319" s="64">
        <f>VLOOKUP(C319,'CHAS - Cook Co'!$C$1:$J$2762,2,FALSE) - VLOOKUP(C319,'CHAS - Chicago'!$C$1:$J$2762,2,FALSE)</f>
        <v>63680</v>
      </c>
      <c r="E319" t="s">
        <v>366</v>
      </c>
      <c r="F319" s="71" t="s">
        <v>367</v>
      </c>
      <c r="G319" s="71" t="s">
        <v>678</v>
      </c>
      <c r="H319" s="71" t="s">
        <v>406</v>
      </c>
      <c r="I319" s="71" t="s">
        <v>364</v>
      </c>
    </row>
    <row r="320" spans="1:9" ht="43.5" x14ac:dyDescent="0.35">
      <c r="A320">
        <v>2</v>
      </c>
      <c r="B320">
        <v>70</v>
      </c>
      <c r="C320" t="s">
        <v>704</v>
      </c>
      <c r="D320" s="64">
        <f>VLOOKUP(C320,'CHAS - Cook Co'!$C$1:$J$2762,2,FALSE) - VLOOKUP(C320,'CHAS - Chicago'!$C$1:$J$2762,2,FALSE)</f>
        <v>41745</v>
      </c>
      <c r="E320" t="s">
        <v>373</v>
      </c>
      <c r="F320" s="71" t="s">
        <v>367</v>
      </c>
      <c r="G320" s="71" t="s">
        <v>678</v>
      </c>
      <c r="H320" s="71" t="s">
        <v>406</v>
      </c>
      <c r="I320" s="71" t="s">
        <v>374</v>
      </c>
    </row>
    <row r="321" spans="1:9" ht="43.5" x14ac:dyDescent="0.35">
      <c r="A321">
        <v>2</v>
      </c>
      <c r="B321">
        <v>71</v>
      </c>
      <c r="C321" t="s">
        <v>705</v>
      </c>
      <c r="D321" s="64">
        <f>VLOOKUP(C321,'CHAS - Cook Co'!$C$1:$J$2762,2,FALSE) - VLOOKUP(C321,'CHAS - Chicago'!$C$1:$J$2762,2,FALSE)</f>
        <v>8920</v>
      </c>
      <c r="E321" t="s">
        <v>373</v>
      </c>
      <c r="F321" s="71" t="s">
        <v>367</v>
      </c>
      <c r="G321" s="71" t="s">
        <v>678</v>
      </c>
      <c r="H321" s="71" t="s">
        <v>406</v>
      </c>
      <c r="I321" s="71" t="s">
        <v>376</v>
      </c>
    </row>
    <row r="322" spans="1:9" ht="43.5" x14ac:dyDescent="0.35">
      <c r="A322">
        <v>2</v>
      </c>
      <c r="B322">
        <v>72</v>
      </c>
      <c r="C322" t="s">
        <v>706</v>
      </c>
      <c r="D322" s="64">
        <f>VLOOKUP(C322,'CHAS - Cook Co'!$C$1:$J$2762,2,FALSE) - VLOOKUP(C322,'CHAS - Chicago'!$C$1:$J$2762,2,FALSE)</f>
        <v>2840</v>
      </c>
      <c r="E322" t="s">
        <v>373</v>
      </c>
      <c r="F322" s="71" t="s">
        <v>367</v>
      </c>
      <c r="G322" s="71" t="s">
        <v>678</v>
      </c>
      <c r="H322" s="71" t="s">
        <v>406</v>
      </c>
      <c r="I322" s="71" t="s">
        <v>378</v>
      </c>
    </row>
    <row r="323" spans="1:9" ht="43.5" x14ac:dyDescent="0.35">
      <c r="A323">
        <v>2</v>
      </c>
      <c r="B323">
        <v>73</v>
      </c>
      <c r="C323" t="s">
        <v>707</v>
      </c>
      <c r="D323" s="64">
        <f>VLOOKUP(C323,'CHAS - Cook Co'!$C$1:$J$2762,2,FALSE) - VLOOKUP(C323,'CHAS - Chicago'!$C$1:$J$2762,2,FALSE)</f>
        <v>101</v>
      </c>
      <c r="E323" t="s">
        <v>373</v>
      </c>
      <c r="F323" s="71" t="s">
        <v>367</v>
      </c>
      <c r="G323" s="71" t="s">
        <v>678</v>
      </c>
      <c r="H323" s="71" t="s">
        <v>406</v>
      </c>
      <c r="I323" s="71" t="s">
        <v>380</v>
      </c>
    </row>
    <row r="324" spans="1:9" ht="43.5" x14ac:dyDescent="0.35">
      <c r="A324">
        <v>2</v>
      </c>
      <c r="B324">
        <v>74</v>
      </c>
      <c r="C324" t="s">
        <v>708</v>
      </c>
      <c r="D324" s="64">
        <f>VLOOKUP(C324,'CHAS - Cook Co'!$C$1:$J$2762,2,FALSE) - VLOOKUP(C324,'CHAS - Chicago'!$C$1:$J$2762,2,FALSE)</f>
        <v>20</v>
      </c>
      <c r="E324" t="s">
        <v>373</v>
      </c>
      <c r="F324" s="71" t="s">
        <v>367</v>
      </c>
      <c r="G324" s="71" t="s">
        <v>678</v>
      </c>
      <c r="H324" s="71" t="s">
        <v>406</v>
      </c>
      <c r="I324" s="71" t="s">
        <v>382</v>
      </c>
    </row>
    <row r="325" spans="1:9" ht="43.5" x14ac:dyDescent="0.35">
      <c r="A325">
        <v>2</v>
      </c>
      <c r="B325">
        <v>75</v>
      </c>
      <c r="C325" t="s">
        <v>709</v>
      </c>
      <c r="D325" s="64">
        <f>VLOOKUP(C325,'CHAS - Cook Co'!$C$1:$J$2762,2,FALSE) - VLOOKUP(C325,'CHAS - Chicago'!$C$1:$J$2762,2,FALSE)</f>
        <v>9575</v>
      </c>
      <c r="E325" t="s">
        <v>373</v>
      </c>
      <c r="F325" s="71" t="s">
        <v>367</v>
      </c>
      <c r="G325" s="71" t="s">
        <v>678</v>
      </c>
      <c r="H325" s="71" t="s">
        <v>406</v>
      </c>
      <c r="I325" s="71" t="s">
        <v>384</v>
      </c>
    </row>
    <row r="326" spans="1:9" ht="43.5" x14ac:dyDescent="0.35">
      <c r="A326">
        <v>2</v>
      </c>
      <c r="B326">
        <v>76</v>
      </c>
      <c r="C326" t="s">
        <v>710</v>
      </c>
      <c r="D326" s="64">
        <f>VLOOKUP(C326,'CHAS - Cook Co'!$C$1:$J$2762,2,FALSE) - VLOOKUP(C326,'CHAS - Chicago'!$C$1:$J$2762,2,FALSE)</f>
        <v>485</v>
      </c>
      <c r="E326" t="s">
        <v>373</v>
      </c>
      <c r="F326" s="71" t="s">
        <v>367</v>
      </c>
      <c r="G326" s="71" t="s">
        <v>678</v>
      </c>
      <c r="H326" s="71" t="s">
        <v>406</v>
      </c>
      <c r="I326" s="71" t="s">
        <v>386</v>
      </c>
    </row>
    <row r="327" spans="1:9" ht="43.5" x14ac:dyDescent="0.35">
      <c r="A327">
        <v>2</v>
      </c>
      <c r="B327">
        <v>77</v>
      </c>
      <c r="C327" t="s">
        <v>711</v>
      </c>
      <c r="D327" s="64">
        <f>VLOOKUP(C327,'CHAS - Cook Co'!$C$1:$J$2762,2,FALSE) - VLOOKUP(C327,'CHAS - Chicago'!$C$1:$J$2762,2,FALSE)</f>
        <v>343470</v>
      </c>
      <c r="E327" t="s">
        <v>366</v>
      </c>
      <c r="F327" s="71" t="s">
        <v>367</v>
      </c>
      <c r="G327" s="71" t="s">
        <v>678</v>
      </c>
      <c r="H327" s="71" t="s">
        <v>415</v>
      </c>
      <c r="I327" s="71" t="s">
        <v>364</v>
      </c>
    </row>
    <row r="328" spans="1:9" ht="43.5" x14ac:dyDescent="0.35">
      <c r="A328">
        <v>2</v>
      </c>
      <c r="B328">
        <v>78</v>
      </c>
      <c r="C328" t="s">
        <v>712</v>
      </c>
      <c r="D328" s="64">
        <f>VLOOKUP(C328,'CHAS - Cook Co'!$C$1:$J$2762,2,FALSE) - VLOOKUP(C328,'CHAS - Chicago'!$C$1:$J$2762,2,FALSE)</f>
        <v>255230</v>
      </c>
      <c r="E328" t="s">
        <v>373</v>
      </c>
      <c r="F328" s="71" t="s">
        <v>367</v>
      </c>
      <c r="G328" s="71" t="s">
        <v>678</v>
      </c>
      <c r="H328" s="71" t="s">
        <v>415</v>
      </c>
      <c r="I328" s="71" t="s">
        <v>374</v>
      </c>
    </row>
    <row r="329" spans="1:9" ht="43.5" x14ac:dyDescent="0.35">
      <c r="A329">
        <v>2</v>
      </c>
      <c r="B329">
        <v>79</v>
      </c>
      <c r="C329" t="s">
        <v>713</v>
      </c>
      <c r="D329" s="64">
        <f>VLOOKUP(C329,'CHAS - Cook Co'!$C$1:$J$2762,2,FALSE) - VLOOKUP(C329,'CHAS - Chicago'!$C$1:$J$2762,2,FALSE)</f>
        <v>33735</v>
      </c>
      <c r="E329" t="s">
        <v>373</v>
      </c>
      <c r="F329" s="71" t="s">
        <v>367</v>
      </c>
      <c r="G329" s="71" t="s">
        <v>678</v>
      </c>
      <c r="H329" s="71" t="s">
        <v>415</v>
      </c>
      <c r="I329" s="71" t="s">
        <v>376</v>
      </c>
    </row>
    <row r="330" spans="1:9" ht="43.5" x14ac:dyDescent="0.35">
      <c r="A330">
        <v>2</v>
      </c>
      <c r="B330">
        <v>80</v>
      </c>
      <c r="C330" t="s">
        <v>714</v>
      </c>
      <c r="D330" s="64">
        <f>VLOOKUP(C330,'CHAS - Cook Co'!$C$1:$J$2762,2,FALSE) - VLOOKUP(C330,'CHAS - Chicago'!$C$1:$J$2762,2,FALSE)</f>
        <v>24270</v>
      </c>
      <c r="E330" t="s">
        <v>373</v>
      </c>
      <c r="F330" s="71" t="s">
        <v>367</v>
      </c>
      <c r="G330" s="71" t="s">
        <v>678</v>
      </c>
      <c r="H330" s="71" t="s">
        <v>415</v>
      </c>
      <c r="I330" s="71" t="s">
        <v>378</v>
      </c>
    </row>
    <row r="331" spans="1:9" ht="43.5" x14ac:dyDescent="0.35">
      <c r="A331">
        <v>2</v>
      </c>
      <c r="B331">
        <v>81</v>
      </c>
      <c r="C331" t="s">
        <v>715</v>
      </c>
      <c r="D331" s="64">
        <f>VLOOKUP(C331,'CHAS - Cook Co'!$C$1:$J$2762,2,FALSE) - VLOOKUP(C331,'CHAS - Chicago'!$C$1:$J$2762,2,FALSE)</f>
        <v>205</v>
      </c>
      <c r="E331" t="s">
        <v>373</v>
      </c>
      <c r="F331" s="71" t="s">
        <v>367</v>
      </c>
      <c r="G331" s="71" t="s">
        <v>678</v>
      </c>
      <c r="H331" s="71" t="s">
        <v>415</v>
      </c>
      <c r="I331" s="71" t="s">
        <v>380</v>
      </c>
    </row>
    <row r="332" spans="1:9" ht="43.5" x14ac:dyDescent="0.35">
      <c r="A332">
        <v>2</v>
      </c>
      <c r="B332">
        <v>82</v>
      </c>
      <c r="C332" t="s">
        <v>716</v>
      </c>
      <c r="D332" s="64">
        <f>VLOOKUP(C332,'CHAS - Cook Co'!$C$1:$J$2762,2,FALSE) - VLOOKUP(C332,'CHAS - Chicago'!$C$1:$J$2762,2,FALSE)</f>
        <v>60</v>
      </c>
      <c r="E332" t="s">
        <v>373</v>
      </c>
      <c r="F332" s="71" t="s">
        <v>367</v>
      </c>
      <c r="G332" s="71" t="s">
        <v>678</v>
      </c>
      <c r="H332" s="71" t="s">
        <v>415</v>
      </c>
      <c r="I332" s="71" t="s">
        <v>382</v>
      </c>
    </row>
    <row r="333" spans="1:9" ht="43.5" x14ac:dyDescent="0.35">
      <c r="A333">
        <v>2</v>
      </c>
      <c r="B333">
        <v>83</v>
      </c>
      <c r="C333" t="s">
        <v>717</v>
      </c>
      <c r="D333" s="64">
        <f>VLOOKUP(C333,'CHAS - Cook Co'!$C$1:$J$2762,2,FALSE) - VLOOKUP(C333,'CHAS - Chicago'!$C$1:$J$2762,2,FALSE)</f>
        <v>26880</v>
      </c>
      <c r="E333" t="s">
        <v>373</v>
      </c>
      <c r="F333" s="71" t="s">
        <v>367</v>
      </c>
      <c r="G333" s="71" t="s">
        <v>678</v>
      </c>
      <c r="H333" s="71" t="s">
        <v>415</v>
      </c>
      <c r="I333" s="71" t="s">
        <v>384</v>
      </c>
    </row>
    <row r="334" spans="1:9" ht="43.5" x14ac:dyDescent="0.35">
      <c r="A334">
        <v>2</v>
      </c>
      <c r="B334">
        <v>84</v>
      </c>
      <c r="C334" t="s">
        <v>718</v>
      </c>
      <c r="D334" s="64">
        <f>VLOOKUP(C334,'CHAS - Cook Co'!$C$1:$J$2762,2,FALSE) - VLOOKUP(C334,'CHAS - Chicago'!$C$1:$J$2762,2,FALSE)</f>
        <v>3085</v>
      </c>
      <c r="E334" t="s">
        <v>373</v>
      </c>
      <c r="F334" s="71" t="s">
        <v>367</v>
      </c>
      <c r="G334" s="71" t="s">
        <v>678</v>
      </c>
      <c r="H334" s="71" t="s">
        <v>415</v>
      </c>
      <c r="I334" s="71" t="s">
        <v>386</v>
      </c>
    </row>
    <row r="335" spans="1:9" ht="58" x14ac:dyDescent="0.35">
      <c r="A335">
        <v>2</v>
      </c>
      <c r="B335">
        <v>85</v>
      </c>
      <c r="C335" t="s">
        <v>719</v>
      </c>
      <c r="D335" s="64">
        <f>VLOOKUP(C335,'CHAS - Cook Co'!$C$1:$J$2762,2,FALSE) - VLOOKUP(C335,'CHAS - Chicago'!$C$1:$J$2762,2,FALSE)</f>
        <v>5515</v>
      </c>
      <c r="E335" t="s">
        <v>366</v>
      </c>
      <c r="F335" s="71" t="s">
        <v>367</v>
      </c>
      <c r="G335" s="71" t="s">
        <v>720</v>
      </c>
      <c r="H335" s="71" t="s">
        <v>363</v>
      </c>
      <c r="I335" s="71" t="s">
        <v>364</v>
      </c>
    </row>
    <row r="336" spans="1:9" ht="58" x14ac:dyDescent="0.35">
      <c r="A336">
        <v>2</v>
      </c>
      <c r="B336">
        <v>86</v>
      </c>
      <c r="C336" t="s">
        <v>721</v>
      </c>
      <c r="D336" s="64">
        <f>VLOOKUP(C336,'CHAS - Cook Co'!$C$1:$J$2762,2,FALSE) - VLOOKUP(C336,'CHAS - Chicago'!$C$1:$J$2762,2,FALSE)</f>
        <v>5515</v>
      </c>
      <c r="E336" t="s">
        <v>366</v>
      </c>
      <c r="F336" s="71" t="s">
        <v>367</v>
      </c>
      <c r="G336" s="71" t="s">
        <v>720</v>
      </c>
      <c r="H336" s="71" t="s">
        <v>371</v>
      </c>
      <c r="I336" s="71" t="s">
        <v>364</v>
      </c>
    </row>
    <row r="337" spans="1:9" ht="58" x14ac:dyDescent="0.35">
      <c r="A337">
        <v>2</v>
      </c>
      <c r="B337">
        <v>87</v>
      </c>
      <c r="C337" t="s">
        <v>722</v>
      </c>
      <c r="D337" s="64">
        <f>VLOOKUP(C337,'CHAS - Cook Co'!$C$1:$J$2762,2,FALSE) - VLOOKUP(C337,'CHAS - Chicago'!$C$1:$J$2762,2,FALSE)</f>
        <v>3475</v>
      </c>
      <c r="E337" t="s">
        <v>373</v>
      </c>
      <c r="F337" s="71" t="s">
        <v>367</v>
      </c>
      <c r="G337" s="71" t="s">
        <v>720</v>
      </c>
      <c r="H337" s="71" t="s">
        <v>371</v>
      </c>
      <c r="I337" s="71" t="s">
        <v>374</v>
      </c>
    </row>
    <row r="338" spans="1:9" ht="58" x14ac:dyDescent="0.35">
      <c r="A338">
        <v>2</v>
      </c>
      <c r="B338">
        <v>88</v>
      </c>
      <c r="C338" t="s">
        <v>723</v>
      </c>
      <c r="D338" s="64">
        <f>VLOOKUP(C338,'CHAS - Cook Co'!$C$1:$J$2762,2,FALSE) - VLOOKUP(C338,'CHAS - Chicago'!$C$1:$J$2762,2,FALSE)</f>
        <v>1065</v>
      </c>
      <c r="E338" t="s">
        <v>373</v>
      </c>
      <c r="F338" s="71" t="s">
        <v>367</v>
      </c>
      <c r="G338" s="71" t="s">
        <v>720</v>
      </c>
      <c r="H338" s="71" t="s">
        <v>371</v>
      </c>
      <c r="I338" s="71" t="s">
        <v>376</v>
      </c>
    </row>
    <row r="339" spans="1:9" ht="58" x14ac:dyDescent="0.35">
      <c r="A339">
        <v>2</v>
      </c>
      <c r="B339">
        <v>89</v>
      </c>
      <c r="C339" t="s">
        <v>724</v>
      </c>
      <c r="D339" s="64">
        <f>VLOOKUP(C339,'CHAS - Cook Co'!$C$1:$J$2762,2,FALSE) - VLOOKUP(C339,'CHAS - Chicago'!$C$1:$J$2762,2,FALSE)</f>
        <v>470</v>
      </c>
      <c r="E339" t="s">
        <v>373</v>
      </c>
      <c r="F339" s="71" t="s">
        <v>367</v>
      </c>
      <c r="G339" s="71" t="s">
        <v>720</v>
      </c>
      <c r="H339" s="71" t="s">
        <v>371</v>
      </c>
      <c r="I339" s="71" t="s">
        <v>378</v>
      </c>
    </row>
    <row r="340" spans="1:9" ht="58" x14ac:dyDescent="0.35">
      <c r="A340">
        <v>2</v>
      </c>
      <c r="B340">
        <v>90</v>
      </c>
      <c r="C340" t="s">
        <v>725</v>
      </c>
      <c r="D340" s="64">
        <f>VLOOKUP(C340,'CHAS - Cook Co'!$C$1:$J$2762,2,FALSE) - VLOOKUP(C340,'CHAS - Chicago'!$C$1:$J$2762,2,FALSE)</f>
        <v>0</v>
      </c>
      <c r="E340" t="s">
        <v>373</v>
      </c>
      <c r="F340" s="71" t="s">
        <v>367</v>
      </c>
      <c r="G340" s="71" t="s">
        <v>720</v>
      </c>
      <c r="H340" s="71" t="s">
        <v>371</v>
      </c>
      <c r="I340" s="71" t="s">
        <v>380</v>
      </c>
    </row>
    <row r="341" spans="1:9" ht="58" x14ac:dyDescent="0.35">
      <c r="A341">
        <v>2</v>
      </c>
      <c r="B341">
        <v>91</v>
      </c>
      <c r="C341" t="s">
        <v>726</v>
      </c>
      <c r="D341" s="64">
        <f>VLOOKUP(C341,'CHAS - Cook Co'!$C$1:$J$2762,2,FALSE) - VLOOKUP(C341,'CHAS - Chicago'!$C$1:$J$2762,2,FALSE)</f>
        <v>0</v>
      </c>
      <c r="E341" t="s">
        <v>373</v>
      </c>
      <c r="F341" s="71" t="s">
        <v>367</v>
      </c>
      <c r="G341" s="71" t="s">
        <v>720</v>
      </c>
      <c r="H341" s="71" t="s">
        <v>371</v>
      </c>
      <c r="I341" s="71" t="s">
        <v>382</v>
      </c>
    </row>
    <row r="342" spans="1:9" ht="58" x14ac:dyDescent="0.35">
      <c r="A342">
        <v>2</v>
      </c>
      <c r="B342">
        <v>92</v>
      </c>
      <c r="C342" t="s">
        <v>727</v>
      </c>
      <c r="D342" s="64">
        <f>VLOOKUP(C342,'CHAS - Cook Co'!$C$1:$J$2762,2,FALSE) - VLOOKUP(C342,'CHAS - Chicago'!$C$1:$J$2762,2,FALSE)</f>
        <v>455</v>
      </c>
      <c r="E342" t="s">
        <v>373</v>
      </c>
      <c r="F342" s="71" t="s">
        <v>367</v>
      </c>
      <c r="G342" s="71" t="s">
        <v>720</v>
      </c>
      <c r="H342" s="71" t="s">
        <v>371</v>
      </c>
      <c r="I342" s="71" t="s">
        <v>384</v>
      </c>
    </row>
    <row r="343" spans="1:9" ht="58" x14ac:dyDescent="0.35">
      <c r="A343">
        <v>2</v>
      </c>
      <c r="B343">
        <v>93</v>
      </c>
      <c r="C343" t="s">
        <v>728</v>
      </c>
      <c r="D343" s="64">
        <f>VLOOKUP(C343,'CHAS - Cook Co'!$C$1:$J$2762,2,FALSE) - VLOOKUP(C343,'CHAS - Chicago'!$C$1:$J$2762,2,FALSE)</f>
        <v>40</v>
      </c>
      <c r="E343" t="s">
        <v>373</v>
      </c>
      <c r="F343" s="71" t="s">
        <v>367</v>
      </c>
      <c r="G343" s="71" t="s">
        <v>720</v>
      </c>
      <c r="H343" s="71" t="s">
        <v>371</v>
      </c>
      <c r="I343" s="71" t="s">
        <v>386</v>
      </c>
    </row>
    <row r="344" spans="1:9" ht="58" x14ac:dyDescent="0.35">
      <c r="A344">
        <v>2</v>
      </c>
      <c r="B344">
        <v>94</v>
      </c>
      <c r="C344" t="s">
        <v>729</v>
      </c>
      <c r="D344" s="64">
        <f>VLOOKUP(C344,'CHAS - Cook Co'!$C$1:$J$2762,2,FALSE) - VLOOKUP(C344,'CHAS - Chicago'!$C$1:$J$2762,2,FALSE)</f>
        <v>0</v>
      </c>
      <c r="E344" t="s">
        <v>366</v>
      </c>
      <c r="F344" s="71" t="s">
        <v>367</v>
      </c>
      <c r="G344" s="71" t="s">
        <v>720</v>
      </c>
      <c r="H344" s="71" t="s">
        <v>388</v>
      </c>
      <c r="I344" s="71" t="s">
        <v>364</v>
      </c>
    </row>
    <row r="345" spans="1:9" ht="58" x14ac:dyDescent="0.35">
      <c r="A345">
        <v>2</v>
      </c>
      <c r="B345">
        <v>95</v>
      </c>
      <c r="C345" t="s">
        <v>730</v>
      </c>
      <c r="D345" s="64">
        <f>VLOOKUP(C345,'CHAS - Cook Co'!$C$1:$J$2762,2,FALSE) - VLOOKUP(C345,'CHAS - Chicago'!$C$1:$J$2762,2,FALSE)</f>
        <v>0</v>
      </c>
      <c r="E345" t="s">
        <v>373</v>
      </c>
      <c r="F345" s="71" t="s">
        <v>367</v>
      </c>
      <c r="G345" s="71" t="s">
        <v>720</v>
      </c>
      <c r="H345" s="71" t="s">
        <v>388</v>
      </c>
      <c r="I345" s="71" t="s">
        <v>374</v>
      </c>
    </row>
    <row r="346" spans="1:9" ht="58" x14ac:dyDescent="0.35">
      <c r="A346">
        <v>2</v>
      </c>
      <c r="B346">
        <v>96</v>
      </c>
      <c r="C346" t="s">
        <v>731</v>
      </c>
      <c r="D346" s="64">
        <f>VLOOKUP(C346,'CHAS - Cook Co'!$C$1:$J$2762,2,FALSE) - VLOOKUP(C346,'CHAS - Chicago'!$C$1:$J$2762,2,FALSE)</f>
        <v>0</v>
      </c>
      <c r="E346" t="s">
        <v>373</v>
      </c>
      <c r="F346" s="71" t="s">
        <v>367</v>
      </c>
      <c r="G346" s="71" t="s">
        <v>720</v>
      </c>
      <c r="H346" s="71" t="s">
        <v>388</v>
      </c>
      <c r="I346" s="71" t="s">
        <v>376</v>
      </c>
    </row>
    <row r="347" spans="1:9" ht="58" x14ac:dyDescent="0.35">
      <c r="A347">
        <v>2</v>
      </c>
      <c r="B347">
        <v>97</v>
      </c>
      <c r="C347" t="s">
        <v>732</v>
      </c>
      <c r="D347" s="64">
        <f>VLOOKUP(C347,'CHAS - Cook Co'!$C$1:$J$2762,2,FALSE) - VLOOKUP(C347,'CHAS - Chicago'!$C$1:$J$2762,2,FALSE)</f>
        <v>0</v>
      </c>
      <c r="E347" t="s">
        <v>373</v>
      </c>
      <c r="F347" s="71" t="s">
        <v>367</v>
      </c>
      <c r="G347" s="71" t="s">
        <v>720</v>
      </c>
      <c r="H347" s="71" t="s">
        <v>388</v>
      </c>
      <c r="I347" s="71" t="s">
        <v>378</v>
      </c>
    </row>
    <row r="348" spans="1:9" ht="58" x14ac:dyDescent="0.35">
      <c r="A348">
        <v>2</v>
      </c>
      <c r="B348">
        <v>98</v>
      </c>
      <c r="C348" t="s">
        <v>733</v>
      </c>
      <c r="D348" s="64">
        <f>VLOOKUP(C348,'CHAS - Cook Co'!$C$1:$J$2762,2,FALSE) - VLOOKUP(C348,'CHAS - Chicago'!$C$1:$J$2762,2,FALSE)</f>
        <v>0</v>
      </c>
      <c r="E348" t="s">
        <v>373</v>
      </c>
      <c r="F348" s="71" t="s">
        <v>367</v>
      </c>
      <c r="G348" s="71" t="s">
        <v>720</v>
      </c>
      <c r="H348" s="71" t="s">
        <v>388</v>
      </c>
      <c r="I348" s="71" t="s">
        <v>380</v>
      </c>
    </row>
    <row r="349" spans="1:9" ht="58" x14ac:dyDescent="0.35">
      <c r="A349">
        <v>2</v>
      </c>
      <c r="B349">
        <v>99</v>
      </c>
      <c r="C349" t="s">
        <v>734</v>
      </c>
      <c r="D349" s="64">
        <f>VLOOKUP(C349,'CHAS - Cook Co'!$C$1:$J$2762,2,FALSE) - VLOOKUP(C349,'CHAS - Chicago'!$C$1:$J$2762,2,FALSE)</f>
        <v>0</v>
      </c>
      <c r="E349" t="s">
        <v>373</v>
      </c>
      <c r="F349" s="71" t="s">
        <v>367</v>
      </c>
      <c r="G349" s="71" t="s">
        <v>720</v>
      </c>
      <c r="H349" s="71" t="s">
        <v>388</v>
      </c>
      <c r="I349" s="71" t="s">
        <v>382</v>
      </c>
    </row>
    <row r="350" spans="1:9" ht="58" x14ac:dyDescent="0.35">
      <c r="A350">
        <v>2</v>
      </c>
      <c r="B350">
        <v>100</v>
      </c>
      <c r="C350" t="s">
        <v>735</v>
      </c>
      <c r="D350" s="64">
        <f>VLOOKUP(C350,'CHAS - Cook Co'!$C$1:$J$2762,2,FALSE) - VLOOKUP(C350,'CHAS - Chicago'!$C$1:$J$2762,2,FALSE)</f>
        <v>0</v>
      </c>
      <c r="E350" t="s">
        <v>373</v>
      </c>
      <c r="F350" s="71" t="s">
        <v>367</v>
      </c>
      <c r="G350" s="71" t="s">
        <v>720</v>
      </c>
      <c r="H350" s="71" t="s">
        <v>388</v>
      </c>
      <c r="I350" s="71" t="s">
        <v>384</v>
      </c>
    </row>
    <row r="351" spans="1:9" ht="58" x14ac:dyDescent="0.35">
      <c r="A351">
        <v>2</v>
      </c>
      <c r="B351">
        <v>101</v>
      </c>
      <c r="C351" t="s">
        <v>736</v>
      </c>
      <c r="D351" s="64">
        <f>VLOOKUP(C351,'CHAS - Cook Co'!$C$1:$J$2762,2,FALSE) - VLOOKUP(C351,'CHAS - Chicago'!$C$1:$J$2762,2,FALSE)</f>
        <v>0</v>
      </c>
      <c r="E351" t="s">
        <v>373</v>
      </c>
      <c r="F351" s="71" t="s">
        <v>367</v>
      </c>
      <c r="G351" s="71" t="s">
        <v>720</v>
      </c>
      <c r="H351" s="71" t="s">
        <v>388</v>
      </c>
      <c r="I351" s="71" t="s">
        <v>386</v>
      </c>
    </row>
    <row r="352" spans="1:9" ht="58" x14ac:dyDescent="0.35">
      <c r="A352">
        <v>2</v>
      </c>
      <c r="B352">
        <v>102</v>
      </c>
      <c r="C352" t="s">
        <v>737</v>
      </c>
      <c r="D352" s="64">
        <f>VLOOKUP(C352,'CHAS - Cook Co'!$C$1:$J$2762,2,FALSE) - VLOOKUP(C352,'CHAS - Chicago'!$C$1:$J$2762,2,FALSE)</f>
        <v>0</v>
      </c>
      <c r="E352" t="s">
        <v>366</v>
      </c>
      <c r="F352" s="71" t="s">
        <v>367</v>
      </c>
      <c r="G352" s="71" t="s">
        <v>720</v>
      </c>
      <c r="H352" s="71" t="s">
        <v>397</v>
      </c>
      <c r="I352" s="71" t="s">
        <v>364</v>
      </c>
    </row>
    <row r="353" spans="1:9" ht="58" x14ac:dyDescent="0.35">
      <c r="A353">
        <v>2</v>
      </c>
      <c r="B353">
        <v>103</v>
      </c>
      <c r="C353" t="s">
        <v>738</v>
      </c>
      <c r="D353" s="64">
        <f>VLOOKUP(C353,'CHAS - Cook Co'!$C$1:$J$2762,2,FALSE) - VLOOKUP(C353,'CHAS - Chicago'!$C$1:$J$2762,2,FALSE)</f>
        <v>0</v>
      </c>
      <c r="E353" t="s">
        <v>373</v>
      </c>
      <c r="F353" s="71" t="s">
        <v>367</v>
      </c>
      <c r="G353" s="71" t="s">
        <v>720</v>
      </c>
      <c r="H353" s="71" t="s">
        <v>397</v>
      </c>
      <c r="I353" s="71" t="s">
        <v>374</v>
      </c>
    </row>
    <row r="354" spans="1:9" ht="58" x14ac:dyDescent="0.35">
      <c r="A354">
        <v>2</v>
      </c>
      <c r="B354">
        <v>104</v>
      </c>
      <c r="C354" t="s">
        <v>739</v>
      </c>
      <c r="D354" s="64">
        <f>VLOOKUP(C354,'CHAS - Cook Co'!$C$1:$J$2762,2,FALSE) - VLOOKUP(C354,'CHAS - Chicago'!$C$1:$J$2762,2,FALSE)</f>
        <v>0</v>
      </c>
      <c r="E354" t="s">
        <v>373</v>
      </c>
      <c r="F354" s="71" t="s">
        <v>367</v>
      </c>
      <c r="G354" s="71" t="s">
        <v>720</v>
      </c>
      <c r="H354" s="71" t="s">
        <v>397</v>
      </c>
      <c r="I354" s="71" t="s">
        <v>376</v>
      </c>
    </row>
    <row r="355" spans="1:9" ht="58" x14ac:dyDescent="0.35">
      <c r="A355">
        <v>2</v>
      </c>
      <c r="B355">
        <v>105</v>
      </c>
      <c r="C355" t="s">
        <v>740</v>
      </c>
      <c r="D355" s="64">
        <f>VLOOKUP(C355,'CHAS - Cook Co'!$C$1:$J$2762,2,FALSE) - VLOOKUP(C355,'CHAS - Chicago'!$C$1:$J$2762,2,FALSE)</f>
        <v>0</v>
      </c>
      <c r="E355" t="s">
        <v>373</v>
      </c>
      <c r="F355" s="71" t="s">
        <v>367</v>
      </c>
      <c r="G355" s="71" t="s">
        <v>720</v>
      </c>
      <c r="H355" s="71" t="s">
        <v>397</v>
      </c>
      <c r="I355" s="71" t="s">
        <v>378</v>
      </c>
    </row>
    <row r="356" spans="1:9" ht="58" x14ac:dyDescent="0.35">
      <c r="A356">
        <v>2</v>
      </c>
      <c r="B356">
        <v>106</v>
      </c>
      <c r="C356" t="s">
        <v>741</v>
      </c>
      <c r="D356" s="64">
        <f>VLOOKUP(C356,'CHAS - Cook Co'!$C$1:$J$2762,2,FALSE) - VLOOKUP(C356,'CHAS - Chicago'!$C$1:$J$2762,2,FALSE)</f>
        <v>0</v>
      </c>
      <c r="E356" t="s">
        <v>373</v>
      </c>
      <c r="F356" s="71" t="s">
        <v>367</v>
      </c>
      <c r="G356" s="71" t="s">
        <v>720</v>
      </c>
      <c r="H356" s="71" t="s">
        <v>397</v>
      </c>
      <c r="I356" s="71" t="s">
        <v>380</v>
      </c>
    </row>
    <row r="357" spans="1:9" ht="58" x14ac:dyDescent="0.35">
      <c r="A357">
        <v>2</v>
      </c>
      <c r="B357">
        <v>107</v>
      </c>
      <c r="C357" t="s">
        <v>742</v>
      </c>
      <c r="D357" s="64">
        <f>VLOOKUP(C357,'CHAS - Cook Co'!$C$1:$J$2762,2,FALSE) - VLOOKUP(C357,'CHAS - Chicago'!$C$1:$J$2762,2,FALSE)</f>
        <v>0</v>
      </c>
      <c r="E357" t="s">
        <v>373</v>
      </c>
      <c r="F357" s="71" t="s">
        <v>367</v>
      </c>
      <c r="G357" s="71" t="s">
        <v>720</v>
      </c>
      <c r="H357" s="71" t="s">
        <v>397</v>
      </c>
      <c r="I357" s="71" t="s">
        <v>382</v>
      </c>
    </row>
    <row r="358" spans="1:9" ht="58" x14ac:dyDescent="0.35">
      <c r="A358">
        <v>2</v>
      </c>
      <c r="B358">
        <v>108</v>
      </c>
      <c r="C358" t="s">
        <v>743</v>
      </c>
      <c r="D358" s="64">
        <f>VLOOKUP(C358,'CHAS - Cook Co'!$C$1:$J$2762,2,FALSE) - VLOOKUP(C358,'CHAS - Chicago'!$C$1:$J$2762,2,FALSE)</f>
        <v>0</v>
      </c>
      <c r="E358" t="s">
        <v>373</v>
      </c>
      <c r="F358" s="71" t="s">
        <v>367</v>
      </c>
      <c r="G358" s="71" t="s">
        <v>720</v>
      </c>
      <c r="H358" s="71" t="s">
        <v>397</v>
      </c>
      <c r="I358" s="71" t="s">
        <v>384</v>
      </c>
    </row>
    <row r="359" spans="1:9" ht="58" x14ac:dyDescent="0.35">
      <c r="A359">
        <v>2</v>
      </c>
      <c r="B359">
        <v>109</v>
      </c>
      <c r="C359" t="s">
        <v>744</v>
      </c>
      <c r="D359" s="64">
        <f>VLOOKUP(C359,'CHAS - Cook Co'!$C$1:$J$2762,2,FALSE) - VLOOKUP(C359,'CHAS - Chicago'!$C$1:$J$2762,2,FALSE)</f>
        <v>0</v>
      </c>
      <c r="E359" t="s">
        <v>373</v>
      </c>
      <c r="F359" s="71" t="s">
        <v>367</v>
      </c>
      <c r="G359" s="71" t="s">
        <v>720</v>
      </c>
      <c r="H359" s="71" t="s">
        <v>397</v>
      </c>
      <c r="I359" s="71" t="s">
        <v>386</v>
      </c>
    </row>
    <row r="360" spans="1:9" ht="58" x14ac:dyDescent="0.35">
      <c r="A360">
        <v>2</v>
      </c>
      <c r="B360">
        <v>110</v>
      </c>
      <c r="C360" t="s">
        <v>745</v>
      </c>
      <c r="D360" s="64">
        <f>VLOOKUP(C360,'CHAS - Cook Co'!$C$1:$J$2762,2,FALSE) - VLOOKUP(C360,'CHAS - Chicago'!$C$1:$J$2762,2,FALSE)</f>
        <v>0</v>
      </c>
      <c r="E360" t="s">
        <v>366</v>
      </c>
      <c r="F360" s="71" t="s">
        <v>367</v>
      </c>
      <c r="G360" s="71" t="s">
        <v>720</v>
      </c>
      <c r="H360" s="71" t="s">
        <v>406</v>
      </c>
      <c r="I360" s="71" t="s">
        <v>364</v>
      </c>
    </row>
    <row r="361" spans="1:9" ht="58" x14ac:dyDescent="0.35">
      <c r="A361">
        <v>2</v>
      </c>
      <c r="B361">
        <v>111</v>
      </c>
      <c r="C361" t="s">
        <v>746</v>
      </c>
      <c r="D361" s="64">
        <f>VLOOKUP(C361,'CHAS - Cook Co'!$C$1:$J$2762,2,FALSE) - VLOOKUP(C361,'CHAS - Chicago'!$C$1:$J$2762,2,FALSE)</f>
        <v>0</v>
      </c>
      <c r="E361" t="s">
        <v>373</v>
      </c>
      <c r="F361" s="71" t="s">
        <v>367</v>
      </c>
      <c r="G361" s="71" t="s">
        <v>720</v>
      </c>
      <c r="H361" s="71" t="s">
        <v>406</v>
      </c>
      <c r="I361" s="71" t="s">
        <v>374</v>
      </c>
    </row>
    <row r="362" spans="1:9" ht="58" x14ac:dyDescent="0.35">
      <c r="A362">
        <v>2</v>
      </c>
      <c r="B362">
        <v>112</v>
      </c>
      <c r="C362" t="s">
        <v>747</v>
      </c>
      <c r="D362" s="64">
        <f>VLOOKUP(C362,'CHAS - Cook Co'!$C$1:$J$2762,2,FALSE) - VLOOKUP(C362,'CHAS - Chicago'!$C$1:$J$2762,2,FALSE)</f>
        <v>0</v>
      </c>
      <c r="E362" t="s">
        <v>373</v>
      </c>
      <c r="F362" s="71" t="s">
        <v>367</v>
      </c>
      <c r="G362" s="71" t="s">
        <v>720</v>
      </c>
      <c r="H362" s="71" t="s">
        <v>406</v>
      </c>
      <c r="I362" s="71" t="s">
        <v>376</v>
      </c>
    </row>
    <row r="363" spans="1:9" ht="58" x14ac:dyDescent="0.35">
      <c r="A363">
        <v>2</v>
      </c>
      <c r="B363">
        <v>113</v>
      </c>
      <c r="C363" t="s">
        <v>748</v>
      </c>
      <c r="D363" s="64">
        <f>VLOOKUP(C363,'CHAS - Cook Co'!$C$1:$J$2762,2,FALSE) - VLOOKUP(C363,'CHAS - Chicago'!$C$1:$J$2762,2,FALSE)</f>
        <v>0</v>
      </c>
      <c r="E363" t="s">
        <v>373</v>
      </c>
      <c r="F363" s="71" t="s">
        <v>367</v>
      </c>
      <c r="G363" s="71" t="s">
        <v>720</v>
      </c>
      <c r="H363" s="71" t="s">
        <v>406</v>
      </c>
      <c r="I363" s="71" t="s">
        <v>378</v>
      </c>
    </row>
    <row r="364" spans="1:9" ht="58" x14ac:dyDescent="0.35">
      <c r="A364">
        <v>2</v>
      </c>
      <c r="B364">
        <v>114</v>
      </c>
      <c r="C364" t="s">
        <v>749</v>
      </c>
      <c r="D364" s="64">
        <f>VLOOKUP(C364,'CHAS - Cook Co'!$C$1:$J$2762,2,FALSE) - VLOOKUP(C364,'CHAS - Chicago'!$C$1:$J$2762,2,FALSE)</f>
        <v>0</v>
      </c>
      <c r="E364" t="s">
        <v>373</v>
      </c>
      <c r="F364" s="71" t="s">
        <v>367</v>
      </c>
      <c r="G364" s="71" t="s">
        <v>720</v>
      </c>
      <c r="H364" s="71" t="s">
        <v>406</v>
      </c>
      <c r="I364" s="71" t="s">
        <v>380</v>
      </c>
    </row>
    <row r="365" spans="1:9" ht="58" x14ac:dyDescent="0.35">
      <c r="A365">
        <v>2</v>
      </c>
      <c r="B365">
        <v>115</v>
      </c>
      <c r="C365" t="s">
        <v>750</v>
      </c>
      <c r="D365" s="64">
        <f>VLOOKUP(C365,'CHAS - Cook Co'!$C$1:$J$2762,2,FALSE) - VLOOKUP(C365,'CHAS - Chicago'!$C$1:$J$2762,2,FALSE)</f>
        <v>0</v>
      </c>
      <c r="E365" t="s">
        <v>373</v>
      </c>
      <c r="F365" s="71" t="s">
        <v>367</v>
      </c>
      <c r="G365" s="71" t="s">
        <v>720</v>
      </c>
      <c r="H365" s="71" t="s">
        <v>406</v>
      </c>
      <c r="I365" s="71" t="s">
        <v>382</v>
      </c>
    </row>
    <row r="366" spans="1:9" ht="58" x14ac:dyDescent="0.35">
      <c r="A366">
        <v>2</v>
      </c>
      <c r="B366">
        <v>116</v>
      </c>
      <c r="C366" t="s">
        <v>751</v>
      </c>
      <c r="D366" s="64">
        <f>VLOOKUP(C366,'CHAS - Cook Co'!$C$1:$J$2762,2,FALSE) - VLOOKUP(C366,'CHAS - Chicago'!$C$1:$J$2762,2,FALSE)</f>
        <v>0</v>
      </c>
      <c r="E366" t="s">
        <v>373</v>
      </c>
      <c r="F366" s="71" t="s">
        <v>367</v>
      </c>
      <c r="G366" s="71" t="s">
        <v>720</v>
      </c>
      <c r="H366" s="71" t="s">
        <v>406</v>
      </c>
      <c r="I366" s="71" t="s">
        <v>384</v>
      </c>
    </row>
    <row r="367" spans="1:9" ht="58" x14ac:dyDescent="0.35">
      <c r="A367">
        <v>2</v>
      </c>
      <c r="B367">
        <v>117</v>
      </c>
      <c r="C367" t="s">
        <v>752</v>
      </c>
      <c r="D367" s="64">
        <f>VLOOKUP(C367,'CHAS - Cook Co'!$C$1:$J$2762,2,FALSE) - VLOOKUP(C367,'CHAS - Chicago'!$C$1:$J$2762,2,FALSE)</f>
        <v>0</v>
      </c>
      <c r="E367" t="s">
        <v>373</v>
      </c>
      <c r="F367" s="71" t="s">
        <v>367</v>
      </c>
      <c r="G367" s="71" t="s">
        <v>720</v>
      </c>
      <c r="H367" s="71" t="s">
        <v>406</v>
      </c>
      <c r="I367" s="71" t="s">
        <v>386</v>
      </c>
    </row>
    <row r="368" spans="1:9" ht="58" x14ac:dyDescent="0.35">
      <c r="A368">
        <v>2</v>
      </c>
      <c r="B368">
        <v>118</v>
      </c>
      <c r="C368" t="s">
        <v>753</v>
      </c>
      <c r="D368" s="64">
        <f>VLOOKUP(C368,'CHAS - Cook Co'!$C$1:$J$2762,2,FALSE) - VLOOKUP(C368,'CHAS - Chicago'!$C$1:$J$2762,2,FALSE)</f>
        <v>0</v>
      </c>
      <c r="E368" t="s">
        <v>366</v>
      </c>
      <c r="F368" s="71" t="s">
        <v>367</v>
      </c>
      <c r="G368" s="71" t="s">
        <v>720</v>
      </c>
      <c r="H368" s="71" t="s">
        <v>415</v>
      </c>
      <c r="I368" s="71" t="s">
        <v>364</v>
      </c>
    </row>
    <row r="369" spans="1:9" ht="58" x14ac:dyDescent="0.35">
      <c r="A369">
        <v>2</v>
      </c>
      <c r="B369">
        <v>119</v>
      </c>
      <c r="C369" t="s">
        <v>754</v>
      </c>
      <c r="D369" s="64">
        <f>VLOOKUP(C369,'CHAS - Cook Co'!$C$1:$J$2762,2,FALSE) - VLOOKUP(C369,'CHAS - Chicago'!$C$1:$J$2762,2,FALSE)</f>
        <v>0</v>
      </c>
      <c r="E369" t="s">
        <v>373</v>
      </c>
      <c r="F369" s="71" t="s">
        <v>367</v>
      </c>
      <c r="G369" s="71" t="s">
        <v>720</v>
      </c>
      <c r="H369" s="71" t="s">
        <v>415</v>
      </c>
      <c r="I369" s="71" t="s">
        <v>374</v>
      </c>
    </row>
    <row r="370" spans="1:9" ht="58" x14ac:dyDescent="0.35">
      <c r="A370">
        <v>2</v>
      </c>
      <c r="B370">
        <v>120</v>
      </c>
      <c r="C370" t="s">
        <v>755</v>
      </c>
      <c r="D370" s="64">
        <f>VLOOKUP(C370,'CHAS - Cook Co'!$C$1:$J$2762,2,FALSE) - VLOOKUP(C370,'CHAS - Chicago'!$C$1:$J$2762,2,FALSE)</f>
        <v>0</v>
      </c>
      <c r="E370" t="s">
        <v>373</v>
      </c>
      <c r="F370" s="71" t="s">
        <v>367</v>
      </c>
      <c r="G370" s="71" t="s">
        <v>720</v>
      </c>
      <c r="H370" s="71" t="s">
        <v>415</v>
      </c>
      <c r="I370" s="71" t="s">
        <v>376</v>
      </c>
    </row>
    <row r="371" spans="1:9" ht="58" x14ac:dyDescent="0.35">
      <c r="A371">
        <v>2</v>
      </c>
      <c r="B371">
        <v>121</v>
      </c>
      <c r="C371" t="s">
        <v>756</v>
      </c>
      <c r="D371" s="64">
        <f>VLOOKUP(C371,'CHAS - Cook Co'!$C$1:$J$2762,2,FALSE) - VLOOKUP(C371,'CHAS - Chicago'!$C$1:$J$2762,2,FALSE)</f>
        <v>0</v>
      </c>
      <c r="E371" t="s">
        <v>373</v>
      </c>
      <c r="F371" s="71" t="s">
        <v>367</v>
      </c>
      <c r="G371" s="71" t="s">
        <v>720</v>
      </c>
      <c r="H371" s="71" t="s">
        <v>415</v>
      </c>
      <c r="I371" s="71" t="s">
        <v>378</v>
      </c>
    </row>
    <row r="372" spans="1:9" ht="58" x14ac:dyDescent="0.35">
      <c r="A372">
        <v>2</v>
      </c>
      <c r="B372">
        <v>122</v>
      </c>
      <c r="C372" t="s">
        <v>757</v>
      </c>
      <c r="D372" s="64">
        <f>VLOOKUP(C372,'CHAS - Cook Co'!$C$1:$J$2762,2,FALSE) - VLOOKUP(C372,'CHAS - Chicago'!$C$1:$J$2762,2,FALSE)</f>
        <v>0</v>
      </c>
      <c r="E372" t="s">
        <v>373</v>
      </c>
      <c r="F372" s="71" t="s">
        <v>367</v>
      </c>
      <c r="G372" s="71" t="s">
        <v>720</v>
      </c>
      <c r="H372" s="71" t="s">
        <v>415</v>
      </c>
      <c r="I372" s="71" t="s">
        <v>380</v>
      </c>
    </row>
    <row r="373" spans="1:9" ht="58" x14ac:dyDescent="0.35">
      <c r="A373">
        <v>2</v>
      </c>
      <c r="B373">
        <v>123</v>
      </c>
      <c r="C373" t="s">
        <v>758</v>
      </c>
      <c r="D373" s="64">
        <f>VLOOKUP(C373,'CHAS - Cook Co'!$C$1:$J$2762,2,FALSE) - VLOOKUP(C373,'CHAS - Chicago'!$C$1:$J$2762,2,FALSE)</f>
        <v>0</v>
      </c>
      <c r="E373" t="s">
        <v>373</v>
      </c>
      <c r="F373" s="71" t="s">
        <v>367</v>
      </c>
      <c r="G373" s="71" t="s">
        <v>720</v>
      </c>
      <c r="H373" s="71" t="s">
        <v>415</v>
      </c>
      <c r="I373" s="71" t="s">
        <v>382</v>
      </c>
    </row>
    <row r="374" spans="1:9" ht="58" x14ac:dyDescent="0.35">
      <c r="A374">
        <v>2</v>
      </c>
      <c r="B374">
        <v>124</v>
      </c>
      <c r="C374" t="s">
        <v>759</v>
      </c>
      <c r="D374" s="64">
        <f>VLOOKUP(C374,'CHAS - Cook Co'!$C$1:$J$2762,2,FALSE) - VLOOKUP(C374,'CHAS - Chicago'!$C$1:$J$2762,2,FALSE)</f>
        <v>0</v>
      </c>
      <c r="E374" t="s">
        <v>373</v>
      </c>
      <c r="F374" s="71" t="s">
        <v>367</v>
      </c>
      <c r="G374" s="71" t="s">
        <v>720</v>
      </c>
      <c r="H374" s="71" t="s">
        <v>415</v>
      </c>
      <c r="I374" s="71" t="s">
        <v>384</v>
      </c>
    </row>
    <row r="375" spans="1:9" ht="58" x14ac:dyDescent="0.35">
      <c r="A375">
        <v>2</v>
      </c>
      <c r="B375">
        <v>125</v>
      </c>
      <c r="C375" t="s">
        <v>760</v>
      </c>
      <c r="D375" s="64">
        <f>VLOOKUP(C375,'CHAS - Cook Co'!$C$1:$J$2762,2,FALSE) - VLOOKUP(C375,'CHAS - Chicago'!$C$1:$J$2762,2,FALSE)</f>
        <v>0</v>
      </c>
      <c r="E375" t="s">
        <v>373</v>
      </c>
      <c r="F375" s="71" t="s">
        <v>367</v>
      </c>
      <c r="G375" s="71" t="s">
        <v>720</v>
      </c>
      <c r="H375" s="71" t="s">
        <v>415</v>
      </c>
      <c r="I375" s="71" t="s">
        <v>386</v>
      </c>
    </row>
    <row r="376" spans="1:9" x14ac:dyDescent="0.35">
      <c r="A376">
        <v>2</v>
      </c>
      <c r="B376">
        <v>126</v>
      </c>
      <c r="C376" t="s">
        <v>761</v>
      </c>
      <c r="D376" s="64">
        <f>VLOOKUP(C376,'CHAS - Cook Co'!$C$1:$J$2762,2,FALSE) - VLOOKUP(C376,'CHAS - Chicago'!$C$1:$J$2762,2,FALSE)</f>
        <v>263750</v>
      </c>
      <c r="E376" t="s">
        <v>366</v>
      </c>
      <c r="F376" s="71" t="s">
        <v>508</v>
      </c>
      <c r="G376" s="71" t="s">
        <v>633</v>
      </c>
      <c r="H376" s="71" t="s">
        <v>363</v>
      </c>
      <c r="I376" s="71" t="s">
        <v>364</v>
      </c>
    </row>
    <row r="377" spans="1:9" ht="87" x14ac:dyDescent="0.35">
      <c r="A377">
        <v>2</v>
      </c>
      <c r="B377">
        <v>127</v>
      </c>
      <c r="C377" t="s">
        <v>762</v>
      </c>
      <c r="D377" s="64">
        <f>VLOOKUP(C377,'CHAS - Cook Co'!$C$1:$J$2762,2,FALSE) - VLOOKUP(C377,'CHAS - Chicago'!$C$1:$J$2762,2,FALSE)</f>
        <v>79950</v>
      </c>
      <c r="E377" t="s">
        <v>366</v>
      </c>
      <c r="F377" s="71" t="s">
        <v>508</v>
      </c>
      <c r="G377" s="71" t="s">
        <v>636</v>
      </c>
      <c r="H377" s="71" t="s">
        <v>363</v>
      </c>
      <c r="I377" s="71" t="s">
        <v>364</v>
      </c>
    </row>
    <row r="378" spans="1:9" ht="87" x14ac:dyDescent="0.35">
      <c r="A378">
        <v>2</v>
      </c>
      <c r="B378">
        <v>128</v>
      </c>
      <c r="C378" t="s">
        <v>763</v>
      </c>
      <c r="D378" s="64">
        <f>VLOOKUP(C378,'CHAS - Cook Co'!$C$1:$J$2762,2,FALSE) - VLOOKUP(C378,'CHAS - Chicago'!$C$1:$J$2762,2,FALSE)</f>
        <v>50670</v>
      </c>
      <c r="E378" t="s">
        <v>366</v>
      </c>
      <c r="F378" s="71" t="s">
        <v>508</v>
      </c>
      <c r="G378" s="71" t="s">
        <v>636</v>
      </c>
      <c r="H378" s="71" t="s">
        <v>371</v>
      </c>
      <c r="I378" s="71" t="s">
        <v>364</v>
      </c>
    </row>
    <row r="379" spans="1:9" ht="87" x14ac:dyDescent="0.35">
      <c r="A379">
        <v>2</v>
      </c>
      <c r="B379">
        <v>129</v>
      </c>
      <c r="C379" t="s">
        <v>764</v>
      </c>
      <c r="D379" s="64">
        <f>VLOOKUP(C379,'CHAS - Cook Co'!$C$1:$J$2762,2,FALSE) - VLOOKUP(C379,'CHAS - Chicago'!$C$1:$J$2762,2,FALSE)</f>
        <v>18390</v>
      </c>
      <c r="E379" t="s">
        <v>373</v>
      </c>
      <c r="F379" s="71" t="s">
        <v>508</v>
      </c>
      <c r="G379" s="71" t="s">
        <v>636</v>
      </c>
      <c r="H379" s="71" t="s">
        <v>371</v>
      </c>
      <c r="I379" s="71" t="s">
        <v>374</v>
      </c>
    </row>
    <row r="380" spans="1:9" ht="87" x14ac:dyDescent="0.35">
      <c r="A380">
        <v>2</v>
      </c>
      <c r="B380">
        <v>130</v>
      </c>
      <c r="C380" t="s">
        <v>765</v>
      </c>
      <c r="D380" s="64">
        <f>VLOOKUP(C380,'CHAS - Cook Co'!$C$1:$J$2762,2,FALSE) - VLOOKUP(C380,'CHAS - Chicago'!$C$1:$J$2762,2,FALSE)</f>
        <v>17760</v>
      </c>
      <c r="E380" t="s">
        <v>373</v>
      </c>
      <c r="F380" s="71" t="s">
        <v>508</v>
      </c>
      <c r="G380" s="71" t="s">
        <v>636</v>
      </c>
      <c r="H380" s="71" t="s">
        <v>371</v>
      </c>
      <c r="I380" s="71" t="s">
        <v>376</v>
      </c>
    </row>
    <row r="381" spans="1:9" ht="87" x14ac:dyDescent="0.35">
      <c r="A381">
        <v>2</v>
      </c>
      <c r="B381">
        <v>131</v>
      </c>
      <c r="C381" t="s">
        <v>766</v>
      </c>
      <c r="D381" s="64">
        <f>VLOOKUP(C381,'CHAS - Cook Co'!$C$1:$J$2762,2,FALSE) - VLOOKUP(C381,'CHAS - Chicago'!$C$1:$J$2762,2,FALSE)</f>
        <v>2750</v>
      </c>
      <c r="E381" t="s">
        <v>373</v>
      </c>
      <c r="F381" s="71" t="s">
        <v>508</v>
      </c>
      <c r="G381" s="71" t="s">
        <v>636</v>
      </c>
      <c r="H381" s="71" t="s">
        <v>371</v>
      </c>
      <c r="I381" s="71" t="s">
        <v>378</v>
      </c>
    </row>
    <row r="382" spans="1:9" ht="87" x14ac:dyDescent="0.35">
      <c r="A382">
        <v>2</v>
      </c>
      <c r="B382">
        <v>132</v>
      </c>
      <c r="C382" t="s">
        <v>767</v>
      </c>
      <c r="D382" s="64">
        <f>VLOOKUP(C382,'CHAS - Cook Co'!$C$1:$J$2762,2,FALSE) - VLOOKUP(C382,'CHAS - Chicago'!$C$1:$J$2762,2,FALSE)</f>
        <v>125</v>
      </c>
      <c r="E382" t="s">
        <v>373</v>
      </c>
      <c r="F382" s="71" t="s">
        <v>508</v>
      </c>
      <c r="G382" s="71" t="s">
        <v>636</v>
      </c>
      <c r="H382" s="71" t="s">
        <v>371</v>
      </c>
      <c r="I382" s="71" t="s">
        <v>380</v>
      </c>
    </row>
    <row r="383" spans="1:9" ht="87" x14ac:dyDescent="0.35">
      <c r="A383">
        <v>2</v>
      </c>
      <c r="B383">
        <v>133</v>
      </c>
      <c r="C383" t="s">
        <v>768</v>
      </c>
      <c r="D383" s="64">
        <f>VLOOKUP(C383,'CHAS - Cook Co'!$C$1:$J$2762,2,FALSE) - VLOOKUP(C383,'CHAS - Chicago'!$C$1:$J$2762,2,FALSE)</f>
        <v>0</v>
      </c>
      <c r="E383" t="s">
        <v>373</v>
      </c>
      <c r="F383" s="71" t="s">
        <v>508</v>
      </c>
      <c r="G383" s="71" t="s">
        <v>636</v>
      </c>
      <c r="H383" s="71" t="s">
        <v>371</v>
      </c>
      <c r="I383" s="71" t="s">
        <v>382</v>
      </c>
    </row>
    <row r="384" spans="1:9" ht="87" x14ac:dyDescent="0.35">
      <c r="A384">
        <v>2</v>
      </c>
      <c r="B384">
        <v>134</v>
      </c>
      <c r="C384" t="s">
        <v>769</v>
      </c>
      <c r="D384" s="64">
        <f>VLOOKUP(C384,'CHAS - Cook Co'!$C$1:$J$2762,2,FALSE) - VLOOKUP(C384,'CHAS - Chicago'!$C$1:$J$2762,2,FALSE)</f>
        <v>10785</v>
      </c>
      <c r="E384" t="s">
        <v>373</v>
      </c>
      <c r="F384" s="71" t="s">
        <v>508</v>
      </c>
      <c r="G384" s="71" t="s">
        <v>636</v>
      </c>
      <c r="H384" s="71" t="s">
        <v>371</v>
      </c>
      <c r="I384" s="71" t="s">
        <v>384</v>
      </c>
    </row>
    <row r="385" spans="1:9" ht="87" x14ac:dyDescent="0.35">
      <c r="A385">
        <v>2</v>
      </c>
      <c r="B385">
        <v>135</v>
      </c>
      <c r="C385" t="s">
        <v>770</v>
      </c>
      <c r="D385" s="64">
        <f>VLOOKUP(C385,'CHAS - Cook Co'!$C$1:$J$2762,2,FALSE) - VLOOKUP(C385,'CHAS - Chicago'!$C$1:$J$2762,2,FALSE)</f>
        <v>860</v>
      </c>
      <c r="E385" t="s">
        <v>373</v>
      </c>
      <c r="F385" s="71" t="s">
        <v>508</v>
      </c>
      <c r="G385" s="71" t="s">
        <v>636</v>
      </c>
      <c r="H385" s="71" t="s">
        <v>371</v>
      </c>
      <c r="I385" s="71" t="s">
        <v>386</v>
      </c>
    </row>
    <row r="386" spans="1:9" ht="87" x14ac:dyDescent="0.35">
      <c r="A386">
        <v>2</v>
      </c>
      <c r="B386">
        <v>136</v>
      </c>
      <c r="C386" t="s">
        <v>771</v>
      </c>
      <c r="D386" s="64">
        <f>VLOOKUP(C386,'CHAS - Cook Co'!$C$1:$J$2762,2,FALSE) - VLOOKUP(C386,'CHAS - Chicago'!$C$1:$J$2762,2,FALSE)</f>
        <v>18770</v>
      </c>
      <c r="E386" t="s">
        <v>366</v>
      </c>
      <c r="F386" s="71" t="s">
        <v>508</v>
      </c>
      <c r="G386" s="71" t="s">
        <v>636</v>
      </c>
      <c r="H386" s="71" t="s">
        <v>388</v>
      </c>
      <c r="I386" s="71" t="s">
        <v>364</v>
      </c>
    </row>
    <row r="387" spans="1:9" ht="87" x14ac:dyDescent="0.35">
      <c r="A387">
        <v>2</v>
      </c>
      <c r="B387">
        <v>137</v>
      </c>
      <c r="C387" t="s">
        <v>772</v>
      </c>
      <c r="D387" s="64">
        <f>VLOOKUP(C387,'CHAS - Cook Co'!$C$1:$J$2762,2,FALSE) - VLOOKUP(C387,'CHAS - Chicago'!$C$1:$J$2762,2,FALSE)</f>
        <v>7560</v>
      </c>
      <c r="E387" t="s">
        <v>373</v>
      </c>
      <c r="F387" s="71" t="s">
        <v>508</v>
      </c>
      <c r="G387" s="71" t="s">
        <v>636</v>
      </c>
      <c r="H387" s="71" t="s">
        <v>388</v>
      </c>
      <c r="I387" s="71" t="s">
        <v>374</v>
      </c>
    </row>
    <row r="388" spans="1:9" ht="87" x14ac:dyDescent="0.35">
      <c r="A388">
        <v>2</v>
      </c>
      <c r="B388">
        <v>138</v>
      </c>
      <c r="C388" t="s">
        <v>773</v>
      </c>
      <c r="D388" s="64">
        <f>VLOOKUP(C388,'CHAS - Cook Co'!$C$1:$J$2762,2,FALSE) - VLOOKUP(C388,'CHAS - Chicago'!$C$1:$J$2762,2,FALSE)</f>
        <v>5015</v>
      </c>
      <c r="E388" t="s">
        <v>373</v>
      </c>
      <c r="F388" s="71" t="s">
        <v>508</v>
      </c>
      <c r="G388" s="71" t="s">
        <v>636</v>
      </c>
      <c r="H388" s="71" t="s">
        <v>388</v>
      </c>
      <c r="I388" s="71" t="s">
        <v>376</v>
      </c>
    </row>
    <row r="389" spans="1:9" ht="87" x14ac:dyDescent="0.35">
      <c r="A389">
        <v>2</v>
      </c>
      <c r="B389">
        <v>139</v>
      </c>
      <c r="C389" t="s">
        <v>774</v>
      </c>
      <c r="D389" s="64">
        <f>VLOOKUP(C389,'CHAS - Cook Co'!$C$1:$J$2762,2,FALSE) - VLOOKUP(C389,'CHAS - Chicago'!$C$1:$J$2762,2,FALSE)</f>
        <v>1290</v>
      </c>
      <c r="E389" t="s">
        <v>373</v>
      </c>
      <c r="F389" s="71" t="s">
        <v>508</v>
      </c>
      <c r="G389" s="71" t="s">
        <v>636</v>
      </c>
      <c r="H389" s="71" t="s">
        <v>388</v>
      </c>
      <c r="I389" s="71" t="s">
        <v>378</v>
      </c>
    </row>
    <row r="390" spans="1:9" ht="87" x14ac:dyDescent="0.35">
      <c r="A390">
        <v>2</v>
      </c>
      <c r="B390">
        <v>140</v>
      </c>
      <c r="C390" t="s">
        <v>775</v>
      </c>
      <c r="D390" s="64">
        <f>VLOOKUP(C390,'CHAS - Cook Co'!$C$1:$J$2762,2,FALSE) - VLOOKUP(C390,'CHAS - Chicago'!$C$1:$J$2762,2,FALSE)</f>
        <v>0</v>
      </c>
      <c r="E390" t="s">
        <v>373</v>
      </c>
      <c r="F390" s="71" t="s">
        <v>508</v>
      </c>
      <c r="G390" s="71" t="s">
        <v>636</v>
      </c>
      <c r="H390" s="71" t="s">
        <v>388</v>
      </c>
      <c r="I390" s="71" t="s">
        <v>380</v>
      </c>
    </row>
    <row r="391" spans="1:9" ht="87" x14ac:dyDescent="0.35">
      <c r="A391">
        <v>2</v>
      </c>
      <c r="B391">
        <v>141</v>
      </c>
      <c r="C391" t="s">
        <v>776</v>
      </c>
      <c r="D391" s="64">
        <f>VLOOKUP(C391,'CHAS - Cook Co'!$C$1:$J$2762,2,FALSE) - VLOOKUP(C391,'CHAS - Chicago'!$C$1:$J$2762,2,FALSE)</f>
        <v>45</v>
      </c>
      <c r="E391" t="s">
        <v>373</v>
      </c>
      <c r="F391" s="71" t="s">
        <v>508</v>
      </c>
      <c r="G391" s="71" t="s">
        <v>636</v>
      </c>
      <c r="H391" s="71" t="s">
        <v>388</v>
      </c>
      <c r="I391" s="71" t="s">
        <v>382</v>
      </c>
    </row>
    <row r="392" spans="1:9" ht="87" x14ac:dyDescent="0.35">
      <c r="A392">
        <v>2</v>
      </c>
      <c r="B392">
        <v>142</v>
      </c>
      <c r="C392" t="s">
        <v>777</v>
      </c>
      <c r="D392" s="64">
        <f>VLOOKUP(C392,'CHAS - Cook Co'!$C$1:$J$2762,2,FALSE) - VLOOKUP(C392,'CHAS - Chicago'!$C$1:$J$2762,2,FALSE)</f>
        <v>4630</v>
      </c>
      <c r="E392" t="s">
        <v>373</v>
      </c>
      <c r="F392" s="71" t="s">
        <v>508</v>
      </c>
      <c r="G392" s="71" t="s">
        <v>636</v>
      </c>
      <c r="H392" s="71" t="s">
        <v>388</v>
      </c>
      <c r="I392" s="71" t="s">
        <v>384</v>
      </c>
    </row>
    <row r="393" spans="1:9" ht="87" x14ac:dyDescent="0.35">
      <c r="A393">
        <v>2</v>
      </c>
      <c r="B393">
        <v>143</v>
      </c>
      <c r="C393" t="s">
        <v>778</v>
      </c>
      <c r="D393" s="64">
        <f>VLOOKUP(C393,'CHAS - Cook Co'!$C$1:$J$2762,2,FALSE) - VLOOKUP(C393,'CHAS - Chicago'!$C$1:$J$2762,2,FALSE)</f>
        <v>235</v>
      </c>
      <c r="E393" t="s">
        <v>373</v>
      </c>
      <c r="F393" s="71" t="s">
        <v>508</v>
      </c>
      <c r="G393" s="71" t="s">
        <v>636</v>
      </c>
      <c r="H393" s="71" t="s">
        <v>388</v>
      </c>
      <c r="I393" s="71" t="s">
        <v>386</v>
      </c>
    </row>
    <row r="394" spans="1:9" ht="87" x14ac:dyDescent="0.35">
      <c r="A394">
        <v>2</v>
      </c>
      <c r="B394">
        <v>144</v>
      </c>
      <c r="C394" t="s">
        <v>779</v>
      </c>
      <c r="D394" s="64">
        <f>VLOOKUP(C394,'CHAS - Cook Co'!$C$1:$J$2762,2,FALSE) - VLOOKUP(C394,'CHAS - Chicago'!$C$1:$J$2762,2,FALSE)</f>
        <v>6065</v>
      </c>
      <c r="E394" t="s">
        <v>366</v>
      </c>
      <c r="F394" s="71" t="s">
        <v>508</v>
      </c>
      <c r="G394" s="71" t="s">
        <v>636</v>
      </c>
      <c r="H394" s="71" t="s">
        <v>397</v>
      </c>
      <c r="I394" s="71" t="s">
        <v>364</v>
      </c>
    </row>
    <row r="395" spans="1:9" ht="87" x14ac:dyDescent="0.35">
      <c r="A395">
        <v>2</v>
      </c>
      <c r="B395">
        <v>145</v>
      </c>
      <c r="C395" t="s">
        <v>780</v>
      </c>
      <c r="D395" s="64">
        <f>VLOOKUP(C395,'CHAS - Cook Co'!$C$1:$J$2762,2,FALSE) - VLOOKUP(C395,'CHAS - Chicago'!$C$1:$J$2762,2,FALSE)</f>
        <v>2530</v>
      </c>
      <c r="E395" t="s">
        <v>373</v>
      </c>
      <c r="F395" s="71" t="s">
        <v>508</v>
      </c>
      <c r="G395" s="71" t="s">
        <v>636</v>
      </c>
      <c r="H395" s="71" t="s">
        <v>397</v>
      </c>
      <c r="I395" s="71" t="s">
        <v>374</v>
      </c>
    </row>
    <row r="396" spans="1:9" ht="87" x14ac:dyDescent="0.35">
      <c r="A396">
        <v>2</v>
      </c>
      <c r="B396">
        <v>146</v>
      </c>
      <c r="C396" t="s">
        <v>781</v>
      </c>
      <c r="D396" s="64">
        <f>VLOOKUP(C396,'CHAS - Cook Co'!$C$1:$J$2762,2,FALSE) - VLOOKUP(C396,'CHAS - Chicago'!$C$1:$J$2762,2,FALSE)</f>
        <v>750</v>
      </c>
      <c r="E396" t="s">
        <v>373</v>
      </c>
      <c r="F396" s="71" t="s">
        <v>508</v>
      </c>
      <c r="G396" s="71" t="s">
        <v>636</v>
      </c>
      <c r="H396" s="71" t="s">
        <v>397</v>
      </c>
      <c r="I396" s="71" t="s">
        <v>376</v>
      </c>
    </row>
    <row r="397" spans="1:9" ht="87" x14ac:dyDescent="0.35">
      <c r="A397">
        <v>2</v>
      </c>
      <c r="B397">
        <v>147</v>
      </c>
      <c r="C397" t="s">
        <v>782</v>
      </c>
      <c r="D397" s="64">
        <f>VLOOKUP(C397,'CHAS - Cook Co'!$C$1:$J$2762,2,FALSE) - VLOOKUP(C397,'CHAS - Chicago'!$C$1:$J$2762,2,FALSE)</f>
        <v>445</v>
      </c>
      <c r="E397" t="s">
        <v>373</v>
      </c>
      <c r="F397" s="71" t="s">
        <v>508</v>
      </c>
      <c r="G397" s="71" t="s">
        <v>636</v>
      </c>
      <c r="H397" s="71" t="s">
        <v>397</v>
      </c>
      <c r="I397" s="71" t="s">
        <v>378</v>
      </c>
    </row>
    <row r="398" spans="1:9" ht="87" x14ac:dyDescent="0.35">
      <c r="A398">
        <v>2</v>
      </c>
      <c r="B398">
        <v>148</v>
      </c>
      <c r="C398" t="s">
        <v>783</v>
      </c>
      <c r="D398" s="64">
        <f>VLOOKUP(C398,'CHAS - Cook Co'!$C$1:$J$2762,2,FALSE) - VLOOKUP(C398,'CHAS - Chicago'!$C$1:$J$2762,2,FALSE)</f>
        <v>0</v>
      </c>
      <c r="E398" t="s">
        <v>373</v>
      </c>
      <c r="F398" s="71" t="s">
        <v>508</v>
      </c>
      <c r="G398" s="71" t="s">
        <v>636</v>
      </c>
      <c r="H398" s="71" t="s">
        <v>397</v>
      </c>
      <c r="I398" s="71" t="s">
        <v>380</v>
      </c>
    </row>
    <row r="399" spans="1:9" ht="87" x14ac:dyDescent="0.35">
      <c r="A399">
        <v>2</v>
      </c>
      <c r="B399">
        <v>149</v>
      </c>
      <c r="C399" t="s">
        <v>784</v>
      </c>
      <c r="D399" s="64">
        <f>VLOOKUP(C399,'CHAS - Cook Co'!$C$1:$J$2762,2,FALSE) - VLOOKUP(C399,'CHAS - Chicago'!$C$1:$J$2762,2,FALSE)</f>
        <v>0</v>
      </c>
      <c r="E399" t="s">
        <v>373</v>
      </c>
      <c r="F399" s="71" t="s">
        <v>508</v>
      </c>
      <c r="G399" s="71" t="s">
        <v>636</v>
      </c>
      <c r="H399" s="71" t="s">
        <v>397</v>
      </c>
      <c r="I399" s="71" t="s">
        <v>382</v>
      </c>
    </row>
    <row r="400" spans="1:9" ht="87" x14ac:dyDescent="0.35">
      <c r="A400">
        <v>2</v>
      </c>
      <c r="B400">
        <v>150</v>
      </c>
      <c r="C400" t="s">
        <v>785</v>
      </c>
      <c r="D400" s="64">
        <f>VLOOKUP(C400,'CHAS - Cook Co'!$C$1:$J$2762,2,FALSE) - VLOOKUP(C400,'CHAS - Chicago'!$C$1:$J$2762,2,FALSE)</f>
        <v>2240</v>
      </c>
      <c r="E400" t="s">
        <v>373</v>
      </c>
      <c r="F400" s="71" t="s">
        <v>508</v>
      </c>
      <c r="G400" s="71" t="s">
        <v>636</v>
      </c>
      <c r="H400" s="71" t="s">
        <v>397</v>
      </c>
      <c r="I400" s="71" t="s">
        <v>384</v>
      </c>
    </row>
    <row r="401" spans="1:9" ht="87" x14ac:dyDescent="0.35">
      <c r="A401">
        <v>2</v>
      </c>
      <c r="B401">
        <v>151</v>
      </c>
      <c r="C401" t="s">
        <v>786</v>
      </c>
      <c r="D401" s="64">
        <f>VLOOKUP(C401,'CHAS - Cook Co'!$C$1:$J$2762,2,FALSE) - VLOOKUP(C401,'CHAS - Chicago'!$C$1:$J$2762,2,FALSE)</f>
        <v>100</v>
      </c>
      <c r="E401" t="s">
        <v>373</v>
      </c>
      <c r="F401" s="71" t="s">
        <v>508</v>
      </c>
      <c r="G401" s="71" t="s">
        <v>636</v>
      </c>
      <c r="H401" s="71" t="s">
        <v>397</v>
      </c>
      <c r="I401" s="71" t="s">
        <v>386</v>
      </c>
    </row>
    <row r="402" spans="1:9" ht="87" x14ac:dyDescent="0.35">
      <c r="A402">
        <v>2</v>
      </c>
      <c r="B402">
        <v>152</v>
      </c>
      <c r="C402" t="s">
        <v>787</v>
      </c>
      <c r="D402" s="64">
        <f>VLOOKUP(C402,'CHAS - Cook Co'!$C$1:$J$2762,2,FALSE) - VLOOKUP(C402,'CHAS - Chicago'!$C$1:$J$2762,2,FALSE)</f>
        <v>1660</v>
      </c>
      <c r="E402" t="s">
        <v>366</v>
      </c>
      <c r="F402" s="71" t="s">
        <v>508</v>
      </c>
      <c r="G402" s="71" t="s">
        <v>636</v>
      </c>
      <c r="H402" s="71" t="s">
        <v>406</v>
      </c>
      <c r="I402" s="71" t="s">
        <v>364</v>
      </c>
    </row>
    <row r="403" spans="1:9" ht="87" x14ac:dyDescent="0.35">
      <c r="A403">
        <v>2</v>
      </c>
      <c r="B403">
        <v>153</v>
      </c>
      <c r="C403" t="s">
        <v>788</v>
      </c>
      <c r="D403" s="64">
        <f>VLOOKUP(C403,'CHAS - Cook Co'!$C$1:$J$2762,2,FALSE) - VLOOKUP(C403,'CHAS - Chicago'!$C$1:$J$2762,2,FALSE)</f>
        <v>715</v>
      </c>
      <c r="E403" t="s">
        <v>373</v>
      </c>
      <c r="F403" s="71" t="s">
        <v>508</v>
      </c>
      <c r="G403" s="71" t="s">
        <v>636</v>
      </c>
      <c r="H403" s="71" t="s">
        <v>406</v>
      </c>
      <c r="I403" s="71" t="s">
        <v>374</v>
      </c>
    </row>
    <row r="404" spans="1:9" ht="87" x14ac:dyDescent="0.35">
      <c r="A404">
        <v>2</v>
      </c>
      <c r="B404">
        <v>154</v>
      </c>
      <c r="C404" t="s">
        <v>789</v>
      </c>
      <c r="D404" s="64">
        <f>VLOOKUP(C404,'CHAS - Cook Co'!$C$1:$J$2762,2,FALSE) - VLOOKUP(C404,'CHAS - Chicago'!$C$1:$J$2762,2,FALSE)</f>
        <v>125</v>
      </c>
      <c r="E404" t="s">
        <v>373</v>
      </c>
      <c r="F404" s="71" t="s">
        <v>508</v>
      </c>
      <c r="G404" s="71" t="s">
        <v>636</v>
      </c>
      <c r="H404" s="71" t="s">
        <v>406</v>
      </c>
      <c r="I404" s="71" t="s">
        <v>376</v>
      </c>
    </row>
    <row r="405" spans="1:9" ht="87" x14ac:dyDescent="0.35">
      <c r="A405">
        <v>2</v>
      </c>
      <c r="B405">
        <v>155</v>
      </c>
      <c r="C405" t="s">
        <v>790</v>
      </c>
      <c r="D405" s="64">
        <f>VLOOKUP(C405,'CHAS - Cook Co'!$C$1:$J$2762,2,FALSE) - VLOOKUP(C405,'CHAS - Chicago'!$C$1:$J$2762,2,FALSE)</f>
        <v>315</v>
      </c>
      <c r="E405" t="s">
        <v>373</v>
      </c>
      <c r="F405" s="71" t="s">
        <v>508</v>
      </c>
      <c r="G405" s="71" t="s">
        <v>636</v>
      </c>
      <c r="H405" s="71" t="s">
        <v>406</v>
      </c>
      <c r="I405" s="71" t="s">
        <v>378</v>
      </c>
    </row>
    <row r="406" spans="1:9" ht="87" x14ac:dyDescent="0.35">
      <c r="A406">
        <v>2</v>
      </c>
      <c r="B406">
        <v>156</v>
      </c>
      <c r="C406" t="s">
        <v>791</v>
      </c>
      <c r="D406" s="64">
        <f>VLOOKUP(C406,'CHAS - Cook Co'!$C$1:$J$2762,2,FALSE) - VLOOKUP(C406,'CHAS - Chicago'!$C$1:$J$2762,2,FALSE)</f>
        <v>0</v>
      </c>
      <c r="E406" t="s">
        <v>373</v>
      </c>
      <c r="F406" s="71" t="s">
        <v>508</v>
      </c>
      <c r="G406" s="71" t="s">
        <v>636</v>
      </c>
      <c r="H406" s="71" t="s">
        <v>406</v>
      </c>
      <c r="I406" s="71" t="s">
        <v>380</v>
      </c>
    </row>
    <row r="407" spans="1:9" ht="87" x14ac:dyDescent="0.35">
      <c r="A407">
        <v>2</v>
      </c>
      <c r="B407">
        <v>157</v>
      </c>
      <c r="C407" t="s">
        <v>792</v>
      </c>
      <c r="D407" s="64">
        <f>VLOOKUP(C407,'CHAS - Cook Co'!$C$1:$J$2762,2,FALSE) - VLOOKUP(C407,'CHAS - Chicago'!$C$1:$J$2762,2,FALSE)</f>
        <v>0</v>
      </c>
      <c r="E407" t="s">
        <v>373</v>
      </c>
      <c r="F407" s="71" t="s">
        <v>508</v>
      </c>
      <c r="G407" s="71" t="s">
        <v>636</v>
      </c>
      <c r="H407" s="71" t="s">
        <v>406</v>
      </c>
      <c r="I407" s="71" t="s">
        <v>382</v>
      </c>
    </row>
    <row r="408" spans="1:9" ht="87" x14ac:dyDescent="0.35">
      <c r="A408">
        <v>2</v>
      </c>
      <c r="B408">
        <v>158</v>
      </c>
      <c r="C408" t="s">
        <v>793</v>
      </c>
      <c r="D408" s="64">
        <f>VLOOKUP(C408,'CHAS - Cook Co'!$C$1:$J$2762,2,FALSE) - VLOOKUP(C408,'CHAS - Chicago'!$C$1:$J$2762,2,FALSE)</f>
        <v>490</v>
      </c>
      <c r="E408" t="s">
        <v>373</v>
      </c>
      <c r="F408" s="71" t="s">
        <v>508</v>
      </c>
      <c r="G408" s="71" t="s">
        <v>636</v>
      </c>
      <c r="H408" s="71" t="s">
        <v>406</v>
      </c>
      <c r="I408" s="71" t="s">
        <v>384</v>
      </c>
    </row>
    <row r="409" spans="1:9" ht="87" x14ac:dyDescent="0.35">
      <c r="A409">
        <v>2</v>
      </c>
      <c r="B409">
        <v>159</v>
      </c>
      <c r="C409" t="s">
        <v>794</v>
      </c>
      <c r="D409" s="64">
        <f>VLOOKUP(C409,'CHAS - Cook Co'!$C$1:$J$2762,2,FALSE) - VLOOKUP(C409,'CHAS - Chicago'!$C$1:$J$2762,2,FALSE)</f>
        <v>20</v>
      </c>
      <c r="E409" t="s">
        <v>373</v>
      </c>
      <c r="F409" s="71" t="s">
        <v>508</v>
      </c>
      <c r="G409" s="71" t="s">
        <v>636</v>
      </c>
      <c r="H409" s="71" t="s">
        <v>406</v>
      </c>
      <c r="I409" s="71" t="s">
        <v>386</v>
      </c>
    </row>
    <row r="410" spans="1:9" ht="87" x14ac:dyDescent="0.35">
      <c r="A410">
        <v>2</v>
      </c>
      <c r="B410">
        <v>160</v>
      </c>
      <c r="C410" t="s">
        <v>795</v>
      </c>
      <c r="D410" s="64">
        <f>VLOOKUP(C410,'CHAS - Cook Co'!$C$1:$J$2762,2,FALSE) - VLOOKUP(C410,'CHAS - Chicago'!$C$1:$J$2762,2,FALSE)</f>
        <v>2780</v>
      </c>
      <c r="E410" t="s">
        <v>366</v>
      </c>
      <c r="F410" s="71" t="s">
        <v>508</v>
      </c>
      <c r="G410" s="71" t="s">
        <v>636</v>
      </c>
      <c r="H410" s="71" t="s">
        <v>415</v>
      </c>
      <c r="I410" s="71" t="s">
        <v>364</v>
      </c>
    </row>
    <row r="411" spans="1:9" ht="87" x14ac:dyDescent="0.35">
      <c r="A411">
        <v>2</v>
      </c>
      <c r="B411">
        <v>161</v>
      </c>
      <c r="C411" t="s">
        <v>796</v>
      </c>
      <c r="D411" s="64">
        <f>VLOOKUP(C411,'CHAS - Cook Co'!$C$1:$J$2762,2,FALSE) - VLOOKUP(C411,'CHAS - Chicago'!$C$1:$J$2762,2,FALSE)</f>
        <v>1045</v>
      </c>
      <c r="E411" t="s">
        <v>373</v>
      </c>
      <c r="F411" s="71" t="s">
        <v>508</v>
      </c>
      <c r="G411" s="71" t="s">
        <v>636</v>
      </c>
      <c r="H411" s="71" t="s">
        <v>415</v>
      </c>
      <c r="I411" s="71" t="s">
        <v>374</v>
      </c>
    </row>
    <row r="412" spans="1:9" ht="87" x14ac:dyDescent="0.35">
      <c r="A412">
        <v>2</v>
      </c>
      <c r="B412">
        <v>162</v>
      </c>
      <c r="C412" t="s">
        <v>797</v>
      </c>
      <c r="D412" s="64">
        <f>VLOOKUP(C412,'CHAS - Cook Co'!$C$1:$J$2762,2,FALSE) - VLOOKUP(C412,'CHAS - Chicago'!$C$1:$J$2762,2,FALSE)</f>
        <v>400</v>
      </c>
      <c r="E412" t="s">
        <v>373</v>
      </c>
      <c r="F412" s="71" t="s">
        <v>508</v>
      </c>
      <c r="G412" s="71" t="s">
        <v>636</v>
      </c>
      <c r="H412" s="71" t="s">
        <v>415</v>
      </c>
      <c r="I412" s="71" t="s">
        <v>376</v>
      </c>
    </row>
    <row r="413" spans="1:9" ht="87" x14ac:dyDescent="0.35">
      <c r="A413">
        <v>2</v>
      </c>
      <c r="B413">
        <v>163</v>
      </c>
      <c r="C413" t="s">
        <v>798</v>
      </c>
      <c r="D413" s="64">
        <f>VLOOKUP(C413,'CHAS - Cook Co'!$C$1:$J$2762,2,FALSE) - VLOOKUP(C413,'CHAS - Chicago'!$C$1:$J$2762,2,FALSE)</f>
        <v>565</v>
      </c>
      <c r="E413" t="s">
        <v>373</v>
      </c>
      <c r="F413" s="71" t="s">
        <v>508</v>
      </c>
      <c r="G413" s="71" t="s">
        <v>636</v>
      </c>
      <c r="H413" s="71" t="s">
        <v>415</v>
      </c>
      <c r="I413" s="71" t="s">
        <v>378</v>
      </c>
    </row>
    <row r="414" spans="1:9" ht="87" x14ac:dyDescent="0.35">
      <c r="A414">
        <v>2</v>
      </c>
      <c r="B414">
        <v>164</v>
      </c>
      <c r="C414" t="s">
        <v>799</v>
      </c>
      <c r="D414" s="64">
        <f>VLOOKUP(C414,'CHAS - Cook Co'!$C$1:$J$2762,2,FALSE) - VLOOKUP(C414,'CHAS - Chicago'!$C$1:$J$2762,2,FALSE)</f>
        <v>0</v>
      </c>
      <c r="E414" t="s">
        <v>373</v>
      </c>
      <c r="F414" s="71" t="s">
        <v>508</v>
      </c>
      <c r="G414" s="71" t="s">
        <v>636</v>
      </c>
      <c r="H414" s="71" t="s">
        <v>415</v>
      </c>
      <c r="I414" s="71" t="s">
        <v>380</v>
      </c>
    </row>
    <row r="415" spans="1:9" ht="87" x14ac:dyDescent="0.35">
      <c r="A415">
        <v>2</v>
      </c>
      <c r="B415">
        <v>165</v>
      </c>
      <c r="C415" t="s">
        <v>800</v>
      </c>
      <c r="D415" s="64">
        <f>VLOOKUP(C415,'CHAS - Cook Co'!$C$1:$J$2762,2,FALSE) - VLOOKUP(C415,'CHAS - Chicago'!$C$1:$J$2762,2,FALSE)</f>
        <v>0</v>
      </c>
      <c r="E415" t="s">
        <v>373</v>
      </c>
      <c r="F415" s="71" t="s">
        <v>508</v>
      </c>
      <c r="G415" s="71" t="s">
        <v>636</v>
      </c>
      <c r="H415" s="71" t="s">
        <v>415</v>
      </c>
      <c r="I415" s="71" t="s">
        <v>382</v>
      </c>
    </row>
    <row r="416" spans="1:9" ht="87" x14ac:dyDescent="0.35">
      <c r="A416">
        <v>2</v>
      </c>
      <c r="B416">
        <v>166</v>
      </c>
      <c r="C416" t="s">
        <v>801</v>
      </c>
      <c r="D416" s="64">
        <f>VLOOKUP(C416,'CHAS - Cook Co'!$C$1:$J$2762,2,FALSE) - VLOOKUP(C416,'CHAS - Chicago'!$C$1:$J$2762,2,FALSE)</f>
        <v>725</v>
      </c>
      <c r="E416" t="s">
        <v>373</v>
      </c>
      <c r="F416" s="71" t="s">
        <v>508</v>
      </c>
      <c r="G416" s="71" t="s">
        <v>636</v>
      </c>
      <c r="H416" s="71" t="s">
        <v>415</v>
      </c>
      <c r="I416" s="71" t="s">
        <v>384</v>
      </c>
    </row>
    <row r="417" spans="1:9" ht="87" x14ac:dyDescent="0.35">
      <c r="A417">
        <v>2</v>
      </c>
      <c r="B417">
        <v>167</v>
      </c>
      <c r="C417" t="s">
        <v>802</v>
      </c>
      <c r="D417" s="64">
        <f>VLOOKUP(C417,'CHAS - Cook Co'!$C$1:$J$2762,2,FALSE) - VLOOKUP(C417,'CHAS - Chicago'!$C$1:$J$2762,2,FALSE)</f>
        <v>45</v>
      </c>
      <c r="E417" t="s">
        <v>373</v>
      </c>
      <c r="F417" s="71" t="s">
        <v>508</v>
      </c>
      <c r="G417" s="71" t="s">
        <v>636</v>
      </c>
      <c r="H417" s="71" t="s">
        <v>415</v>
      </c>
      <c r="I417" s="71" t="s">
        <v>386</v>
      </c>
    </row>
    <row r="418" spans="1:9" ht="43.5" x14ac:dyDescent="0.35">
      <c r="A418">
        <v>2</v>
      </c>
      <c r="B418">
        <v>168</v>
      </c>
      <c r="C418" t="s">
        <v>803</v>
      </c>
      <c r="D418" s="64">
        <f>VLOOKUP(C418,'CHAS - Cook Co'!$C$1:$J$2762,2,FALSE) - VLOOKUP(C418,'CHAS - Chicago'!$C$1:$J$2762,2,FALSE)</f>
        <v>175235</v>
      </c>
      <c r="E418" t="s">
        <v>366</v>
      </c>
      <c r="F418" s="71" t="s">
        <v>508</v>
      </c>
      <c r="G418" s="71" t="s">
        <v>678</v>
      </c>
      <c r="H418" s="71" t="s">
        <v>363</v>
      </c>
      <c r="I418" s="71" t="s">
        <v>364</v>
      </c>
    </row>
    <row r="419" spans="1:9" ht="43.5" x14ac:dyDescent="0.35">
      <c r="A419">
        <v>2</v>
      </c>
      <c r="B419">
        <v>169</v>
      </c>
      <c r="C419" t="s">
        <v>804</v>
      </c>
      <c r="D419" s="64">
        <f>VLOOKUP(C419,'CHAS - Cook Co'!$C$1:$J$2762,2,FALSE) - VLOOKUP(C419,'CHAS - Chicago'!$C$1:$J$2762,2,FALSE)</f>
        <v>12540</v>
      </c>
      <c r="E419" t="s">
        <v>366</v>
      </c>
      <c r="F419" s="71" t="s">
        <v>508</v>
      </c>
      <c r="G419" s="71" t="s">
        <v>678</v>
      </c>
      <c r="H419" s="71" t="s">
        <v>371</v>
      </c>
      <c r="I419" s="71" t="s">
        <v>364</v>
      </c>
    </row>
    <row r="420" spans="1:9" ht="43.5" x14ac:dyDescent="0.35">
      <c r="A420">
        <v>2</v>
      </c>
      <c r="B420">
        <v>170</v>
      </c>
      <c r="C420" t="s">
        <v>805</v>
      </c>
      <c r="D420" s="64">
        <f>VLOOKUP(C420,'CHAS - Cook Co'!$C$1:$J$2762,2,FALSE) - VLOOKUP(C420,'CHAS - Chicago'!$C$1:$J$2762,2,FALSE)</f>
        <v>5345</v>
      </c>
      <c r="E420" t="s">
        <v>373</v>
      </c>
      <c r="F420" s="71" t="s">
        <v>508</v>
      </c>
      <c r="G420" s="71" t="s">
        <v>678</v>
      </c>
      <c r="H420" s="71" t="s">
        <v>371</v>
      </c>
      <c r="I420" s="71" t="s">
        <v>374</v>
      </c>
    </row>
    <row r="421" spans="1:9" ht="43.5" x14ac:dyDescent="0.35">
      <c r="A421">
        <v>2</v>
      </c>
      <c r="B421">
        <v>171</v>
      </c>
      <c r="C421" t="s">
        <v>806</v>
      </c>
      <c r="D421" s="64">
        <f>VLOOKUP(C421,'CHAS - Cook Co'!$C$1:$J$2762,2,FALSE) - VLOOKUP(C421,'CHAS - Chicago'!$C$1:$J$2762,2,FALSE)</f>
        <v>4195</v>
      </c>
      <c r="E421" t="s">
        <v>373</v>
      </c>
      <c r="F421" s="71" t="s">
        <v>508</v>
      </c>
      <c r="G421" s="71" t="s">
        <v>678</v>
      </c>
      <c r="H421" s="71" t="s">
        <v>371</v>
      </c>
      <c r="I421" s="71" t="s">
        <v>376</v>
      </c>
    </row>
    <row r="422" spans="1:9" ht="43.5" x14ac:dyDescent="0.35">
      <c r="A422">
        <v>2</v>
      </c>
      <c r="B422">
        <v>172</v>
      </c>
      <c r="C422" t="s">
        <v>807</v>
      </c>
      <c r="D422" s="64">
        <f>VLOOKUP(C422,'CHAS - Cook Co'!$C$1:$J$2762,2,FALSE) - VLOOKUP(C422,'CHAS - Chicago'!$C$1:$J$2762,2,FALSE)</f>
        <v>560</v>
      </c>
      <c r="E422" t="s">
        <v>373</v>
      </c>
      <c r="F422" s="71" t="s">
        <v>508</v>
      </c>
      <c r="G422" s="71" t="s">
        <v>678</v>
      </c>
      <c r="H422" s="71" t="s">
        <v>371</v>
      </c>
      <c r="I422" s="71" t="s">
        <v>378</v>
      </c>
    </row>
    <row r="423" spans="1:9" ht="43.5" x14ac:dyDescent="0.35">
      <c r="A423">
        <v>2</v>
      </c>
      <c r="B423">
        <v>173</v>
      </c>
      <c r="C423" t="s">
        <v>808</v>
      </c>
      <c r="D423" s="64">
        <f>VLOOKUP(C423,'CHAS - Cook Co'!$C$1:$J$2762,2,FALSE) - VLOOKUP(C423,'CHAS - Chicago'!$C$1:$J$2762,2,FALSE)</f>
        <v>25</v>
      </c>
      <c r="E423" t="s">
        <v>373</v>
      </c>
      <c r="F423" s="71" t="s">
        <v>508</v>
      </c>
      <c r="G423" s="71" t="s">
        <v>678</v>
      </c>
      <c r="H423" s="71" t="s">
        <v>371</v>
      </c>
      <c r="I423" s="71" t="s">
        <v>380</v>
      </c>
    </row>
    <row r="424" spans="1:9" ht="43.5" x14ac:dyDescent="0.35">
      <c r="A424">
        <v>2</v>
      </c>
      <c r="B424">
        <v>174</v>
      </c>
      <c r="C424" t="s">
        <v>809</v>
      </c>
      <c r="D424" s="64">
        <f>VLOOKUP(C424,'CHAS - Cook Co'!$C$1:$J$2762,2,FALSE) - VLOOKUP(C424,'CHAS - Chicago'!$C$1:$J$2762,2,FALSE)</f>
        <v>0</v>
      </c>
      <c r="E424" t="s">
        <v>373</v>
      </c>
      <c r="F424" s="71" t="s">
        <v>508</v>
      </c>
      <c r="G424" s="71" t="s">
        <v>678</v>
      </c>
      <c r="H424" s="71" t="s">
        <v>371</v>
      </c>
      <c r="I424" s="71" t="s">
        <v>382</v>
      </c>
    </row>
    <row r="425" spans="1:9" ht="43.5" x14ac:dyDescent="0.35">
      <c r="A425">
        <v>2</v>
      </c>
      <c r="B425">
        <v>175</v>
      </c>
      <c r="C425" t="s">
        <v>810</v>
      </c>
      <c r="D425" s="64">
        <f>VLOOKUP(C425,'CHAS - Cook Co'!$C$1:$J$2762,2,FALSE) - VLOOKUP(C425,'CHAS - Chicago'!$C$1:$J$2762,2,FALSE)</f>
        <v>2225</v>
      </c>
      <c r="E425" t="s">
        <v>373</v>
      </c>
      <c r="F425" s="71" t="s">
        <v>508</v>
      </c>
      <c r="G425" s="71" t="s">
        <v>678</v>
      </c>
      <c r="H425" s="71" t="s">
        <v>371</v>
      </c>
      <c r="I425" s="71" t="s">
        <v>384</v>
      </c>
    </row>
    <row r="426" spans="1:9" ht="43.5" x14ac:dyDescent="0.35">
      <c r="A426">
        <v>2</v>
      </c>
      <c r="B426">
        <v>176</v>
      </c>
      <c r="C426" t="s">
        <v>811</v>
      </c>
      <c r="D426" s="64">
        <f>VLOOKUP(C426,'CHAS - Cook Co'!$C$1:$J$2762,2,FALSE) - VLOOKUP(C426,'CHAS - Chicago'!$C$1:$J$2762,2,FALSE)</f>
        <v>190</v>
      </c>
      <c r="E426" t="s">
        <v>373</v>
      </c>
      <c r="F426" s="71" t="s">
        <v>508</v>
      </c>
      <c r="G426" s="71" t="s">
        <v>678</v>
      </c>
      <c r="H426" s="71" t="s">
        <v>371</v>
      </c>
      <c r="I426" s="71" t="s">
        <v>386</v>
      </c>
    </row>
    <row r="427" spans="1:9" ht="43.5" x14ac:dyDescent="0.35">
      <c r="A427">
        <v>2</v>
      </c>
      <c r="B427">
        <v>177</v>
      </c>
      <c r="C427" t="s">
        <v>812</v>
      </c>
      <c r="D427" s="64">
        <f>VLOOKUP(C427,'CHAS - Cook Co'!$C$1:$J$2762,2,FALSE) - VLOOKUP(C427,'CHAS - Chicago'!$C$1:$J$2762,2,FALSE)</f>
        <v>29715</v>
      </c>
      <c r="E427" t="s">
        <v>366</v>
      </c>
      <c r="F427" s="71" t="s">
        <v>508</v>
      </c>
      <c r="G427" s="71" t="s">
        <v>678</v>
      </c>
      <c r="H427" s="71" t="s">
        <v>388</v>
      </c>
      <c r="I427" s="71" t="s">
        <v>364</v>
      </c>
    </row>
    <row r="428" spans="1:9" ht="43.5" x14ac:dyDescent="0.35">
      <c r="A428">
        <v>2</v>
      </c>
      <c r="B428">
        <v>178</v>
      </c>
      <c r="C428" t="s">
        <v>813</v>
      </c>
      <c r="D428" s="64">
        <f>VLOOKUP(C428,'CHAS - Cook Co'!$C$1:$J$2762,2,FALSE) - VLOOKUP(C428,'CHAS - Chicago'!$C$1:$J$2762,2,FALSE)</f>
        <v>11435</v>
      </c>
      <c r="E428" t="s">
        <v>373</v>
      </c>
      <c r="F428" s="71" t="s">
        <v>508</v>
      </c>
      <c r="G428" s="71" t="s">
        <v>678</v>
      </c>
      <c r="H428" s="71" t="s">
        <v>388</v>
      </c>
      <c r="I428" s="71" t="s">
        <v>374</v>
      </c>
    </row>
    <row r="429" spans="1:9" ht="43.5" x14ac:dyDescent="0.35">
      <c r="A429">
        <v>2</v>
      </c>
      <c r="B429">
        <v>179</v>
      </c>
      <c r="C429" t="s">
        <v>814</v>
      </c>
      <c r="D429" s="64">
        <f>VLOOKUP(C429,'CHAS - Cook Co'!$C$1:$J$2762,2,FALSE) - VLOOKUP(C429,'CHAS - Chicago'!$C$1:$J$2762,2,FALSE)</f>
        <v>7760</v>
      </c>
      <c r="E429" t="s">
        <v>373</v>
      </c>
      <c r="F429" s="71" t="s">
        <v>508</v>
      </c>
      <c r="G429" s="71" t="s">
        <v>678</v>
      </c>
      <c r="H429" s="71" t="s">
        <v>388</v>
      </c>
      <c r="I429" s="71" t="s">
        <v>376</v>
      </c>
    </row>
    <row r="430" spans="1:9" ht="43.5" x14ac:dyDescent="0.35">
      <c r="A430">
        <v>2</v>
      </c>
      <c r="B430">
        <v>180</v>
      </c>
      <c r="C430" t="s">
        <v>815</v>
      </c>
      <c r="D430" s="64">
        <f>VLOOKUP(C430,'CHAS - Cook Co'!$C$1:$J$2762,2,FALSE) - VLOOKUP(C430,'CHAS - Chicago'!$C$1:$J$2762,2,FALSE)</f>
        <v>1375</v>
      </c>
      <c r="E430" t="s">
        <v>373</v>
      </c>
      <c r="F430" s="71" t="s">
        <v>508</v>
      </c>
      <c r="G430" s="71" t="s">
        <v>678</v>
      </c>
      <c r="H430" s="71" t="s">
        <v>388</v>
      </c>
      <c r="I430" s="71" t="s">
        <v>378</v>
      </c>
    </row>
    <row r="431" spans="1:9" ht="43.5" x14ac:dyDescent="0.35">
      <c r="A431">
        <v>2</v>
      </c>
      <c r="B431">
        <v>181</v>
      </c>
      <c r="C431" t="s">
        <v>816</v>
      </c>
      <c r="D431" s="64">
        <f>VLOOKUP(C431,'CHAS - Cook Co'!$C$1:$J$2762,2,FALSE) - VLOOKUP(C431,'CHAS - Chicago'!$C$1:$J$2762,2,FALSE)</f>
        <v>30</v>
      </c>
      <c r="E431" t="s">
        <v>373</v>
      </c>
      <c r="F431" s="71" t="s">
        <v>508</v>
      </c>
      <c r="G431" s="71" t="s">
        <v>678</v>
      </c>
      <c r="H431" s="71" t="s">
        <v>388</v>
      </c>
      <c r="I431" s="71" t="s">
        <v>380</v>
      </c>
    </row>
    <row r="432" spans="1:9" ht="43.5" x14ac:dyDescent="0.35">
      <c r="A432">
        <v>2</v>
      </c>
      <c r="B432">
        <v>182</v>
      </c>
      <c r="C432" t="s">
        <v>817</v>
      </c>
      <c r="D432" s="64">
        <f>VLOOKUP(C432,'CHAS - Cook Co'!$C$1:$J$2762,2,FALSE) - VLOOKUP(C432,'CHAS - Chicago'!$C$1:$J$2762,2,FALSE)</f>
        <v>0</v>
      </c>
      <c r="E432" t="s">
        <v>373</v>
      </c>
      <c r="F432" s="71" t="s">
        <v>508</v>
      </c>
      <c r="G432" s="71" t="s">
        <v>678</v>
      </c>
      <c r="H432" s="71" t="s">
        <v>388</v>
      </c>
      <c r="I432" s="71" t="s">
        <v>382</v>
      </c>
    </row>
    <row r="433" spans="1:9" ht="43.5" x14ac:dyDescent="0.35">
      <c r="A433">
        <v>2</v>
      </c>
      <c r="B433">
        <v>183</v>
      </c>
      <c r="C433" t="s">
        <v>818</v>
      </c>
      <c r="D433" s="64">
        <f>VLOOKUP(C433,'CHAS - Cook Co'!$C$1:$J$2762,2,FALSE) - VLOOKUP(C433,'CHAS - Chicago'!$C$1:$J$2762,2,FALSE)</f>
        <v>8565</v>
      </c>
      <c r="E433" t="s">
        <v>373</v>
      </c>
      <c r="F433" s="71" t="s">
        <v>508</v>
      </c>
      <c r="G433" s="71" t="s">
        <v>678</v>
      </c>
      <c r="H433" s="71" t="s">
        <v>388</v>
      </c>
      <c r="I433" s="71" t="s">
        <v>384</v>
      </c>
    </row>
    <row r="434" spans="1:9" ht="43.5" x14ac:dyDescent="0.35">
      <c r="A434">
        <v>2</v>
      </c>
      <c r="B434">
        <v>184</v>
      </c>
      <c r="C434" t="s">
        <v>819</v>
      </c>
      <c r="D434" s="64">
        <f>VLOOKUP(C434,'CHAS - Cook Co'!$C$1:$J$2762,2,FALSE) - VLOOKUP(C434,'CHAS - Chicago'!$C$1:$J$2762,2,FALSE)</f>
        <v>540</v>
      </c>
      <c r="E434" t="s">
        <v>373</v>
      </c>
      <c r="F434" s="71" t="s">
        <v>508</v>
      </c>
      <c r="G434" s="71" t="s">
        <v>678</v>
      </c>
      <c r="H434" s="71" t="s">
        <v>388</v>
      </c>
      <c r="I434" s="71" t="s">
        <v>386</v>
      </c>
    </row>
    <row r="435" spans="1:9" ht="43.5" x14ac:dyDescent="0.35">
      <c r="A435">
        <v>2</v>
      </c>
      <c r="B435">
        <v>185</v>
      </c>
      <c r="C435" t="s">
        <v>820</v>
      </c>
      <c r="D435" s="64">
        <f>VLOOKUP(C435,'CHAS - Cook Co'!$C$1:$J$2762,2,FALSE) - VLOOKUP(C435,'CHAS - Chicago'!$C$1:$J$2762,2,FALSE)</f>
        <v>47975</v>
      </c>
      <c r="E435" t="s">
        <v>366</v>
      </c>
      <c r="F435" s="71" t="s">
        <v>508</v>
      </c>
      <c r="G435" s="71" t="s">
        <v>678</v>
      </c>
      <c r="H435" s="71" t="s">
        <v>397</v>
      </c>
      <c r="I435" s="71" t="s">
        <v>364</v>
      </c>
    </row>
    <row r="436" spans="1:9" ht="43.5" x14ac:dyDescent="0.35">
      <c r="A436">
        <v>2</v>
      </c>
      <c r="B436">
        <v>186</v>
      </c>
      <c r="C436" t="s">
        <v>821</v>
      </c>
      <c r="D436" s="64">
        <f>VLOOKUP(C436,'CHAS - Cook Co'!$C$1:$J$2762,2,FALSE) - VLOOKUP(C436,'CHAS - Chicago'!$C$1:$J$2762,2,FALSE)</f>
        <v>19820</v>
      </c>
      <c r="E436" t="s">
        <v>373</v>
      </c>
      <c r="F436" s="71" t="s">
        <v>508</v>
      </c>
      <c r="G436" s="71" t="s">
        <v>678</v>
      </c>
      <c r="H436" s="71" t="s">
        <v>397</v>
      </c>
      <c r="I436" s="71" t="s">
        <v>374</v>
      </c>
    </row>
    <row r="437" spans="1:9" ht="43.5" x14ac:dyDescent="0.35">
      <c r="A437">
        <v>2</v>
      </c>
      <c r="B437">
        <v>187</v>
      </c>
      <c r="C437" t="s">
        <v>822</v>
      </c>
      <c r="D437" s="64">
        <f>VLOOKUP(C437,'CHAS - Cook Co'!$C$1:$J$2762,2,FALSE) - VLOOKUP(C437,'CHAS - Chicago'!$C$1:$J$2762,2,FALSE)</f>
        <v>13110</v>
      </c>
      <c r="E437" t="s">
        <v>373</v>
      </c>
      <c r="F437" s="71" t="s">
        <v>508</v>
      </c>
      <c r="G437" s="71" t="s">
        <v>678</v>
      </c>
      <c r="H437" s="71" t="s">
        <v>397</v>
      </c>
      <c r="I437" s="71" t="s">
        <v>376</v>
      </c>
    </row>
    <row r="438" spans="1:9" ht="43.5" x14ac:dyDescent="0.35">
      <c r="A438">
        <v>2</v>
      </c>
      <c r="B438">
        <v>188</v>
      </c>
      <c r="C438" t="s">
        <v>823</v>
      </c>
      <c r="D438" s="64">
        <f>VLOOKUP(C438,'CHAS - Cook Co'!$C$1:$J$2762,2,FALSE) - VLOOKUP(C438,'CHAS - Chicago'!$C$1:$J$2762,2,FALSE)</f>
        <v>2695</v>
      </c>
      <c r="E438" t="s">
        <v>373</v>
      </c>
      <c r="F438" s="71" t="s">
        <v>508</v>
      </c>
      <c r="G438" s="71" t="s">
        <v>678</v>
      </c>
      <c r="H438" s="71" t="s">
        <v>397</v>
      </c>
      <c r="I438" s="71" t="s">
        <v>378</v>
      </c>
    </row>
    <row r="439" spans="1:9" ht="43.5" x14ac:dyDescent="0.35">
      <c r="A439">
        <v>2</v>
      </c>
      <c r="B439">
        <v>189</v>
      </c>
      <c r="C439" t="s">
        <v>824</v>
      </c>
      <c r="D439" s="64">
        <f>VLOOKUP(C439,'CHAS - Cook Co'!$C$1:$J$2762,2,FALSE) - VLOOKUP(C439,'CHAS - Chicago'!$C$1:$J$2762,2,FALSE)</f>
        <v>170</v>
      </c>
      <c r="E439" t="s">
        <v>373</v>
      </c>
      <c r="F439" s="71" t="s">
        <v>508</v>
      </c>
      <c r="G439" s="71" t="s">
        <v>678</v>
      </c>
      <c r="H439" s="71" t="s">
        <v>397</v>
      </c>
      <c r="I439" s="71" t="s">
        <v>380</v>
      </c>
    </row>
    <row r="440" spans="1:9" ht="43.5" x14ac:dyDescent="0.35">
      <c r="A440">
        <v>2</v>
      </c>
      <c r="B440">
        <v>190</v>
      </c>
      <c r="C440" t="s">
        <v>825</v>
      </c>
      <c r="D440" s="64">
        <f>VLOOKUP(C440,'CHAS - Cook Co'!$C$1:$J$2762,2,FALSE) - VLOOKUP(C440,'CHAS - Chicago'!$C$1:$J$2762,2,FALSE)</f>
        <v>0</v>
      </c>
      <c r="E440" t="s">
        <v>373</v>
      </c>
      <c r="F440" s="71" t="s">
        <v>508</v>
      </c>
      <c r="G440" s="71" t="s">
        <v>678</v>
      </c>
      <c r="H440" s="71" t="s">
        <v>397</v>
      </c>
      <c r="I440" s="71" t="s">
        <v>382</v>
      </c>
    </row>
    <row r="441" spans="1:9" ht="43.5" x14ac:dyDescent="0.35">
      <c r="A441">
        <v>2</v>
      </c>
      <c r="B441">
        <v>191</v>
      </c>
      <c r="C441" t="s">
        <v>826</v>
      </c>
      <c r="D441" s="64">
        <f>VLOOKUP(C441,'CHAS - Cook Co'!$C$1:$J$2762,2,FALSE) - VLOOKUP(C441,'CHAS - Chicago'!$C$1:$J$2762,2,FALSE)</f>
        <v>11305</v>
      </c>
      <c r="E441" t="s">
        <v>373</v>
      </c>
      <c r="F441" s="71" t="s">
        <v>508</v>
      </c>
      <c r="G441" s="71" t="s">
        <v>678</v>
      </c>
      <c r="H441" s="71" t="s">
        <v>397</v>
      </c>
      <c r="I441" s="71" t="s">
        <v>384</v>
      </c>
    </row>
    <row r="442" spans="1:9" ht="43.5" x14ac:dyDescent="0.35">
      <c r="A442">
        <v>2</v>
      </c>
      <c r="B442">
        <v>192</v>
      </c>
      <c r="C442" t="s">
        <v>827</v>
      </c>
      <c r="D442" s="64">
        <f>VLOOKUP(C442,'CHAS - Cook Co'!$C$1:$J$2762,2,FALSE) - VLOOKUP(C442,'CHAS - Chicago'!$C$1:$J$2762,2,FALSE)</f>
        <v>870</v>
      </c>
      <c r="E442" t="s">
        <v>373</v>
      </c>
      <c r="F442" s="71" t="s">
        <v>508</v>
      </c>
      <c r="G442" s="71" t="s">
        <v>678</v>
      </c>
      <c r="H442" s="71" t="s">
        <v>397</v>
      </c>
      <c r="I442" s="71" t="s">
        <v>386</v>
      </c>
    </row>
    <row r="443" spans="1:9" ht="43.5" x14ac:dyDescent="0.35">
      <c r="A443">
        <v>2</v>
      </c>
      <c r="B443">
        <v>193</v>
      </c>
      <c r="C443" t="s">
        <v>828</v>
      </c>
      <c r="D443" s="64">
        <f>VLOOKUP(C443,'CHAS - Cook Co'!$C$1:$J$2762,2,FALSE) - VLOOKUP(C443,'CHAS - Chicago'!$C$1:$J$2762,2,FALSE)</f>
        <v>25655</v>
      </c>
      <c r="E443" t="s">
        <v>366</v>
      </c>
      <c r="F443" s="71" t="s">
        <v>508</v>
      </c>
      <c r="G443" s="71" t="s">
        <v>678</v>
      </c>
      <c r="H443" s="71" t="s">
        <v>406</v>
      </c>
      <c r="I443" s="71" t="s">
        <v>364</v>
      </c>
    </row>
    <row r="444" spans="1:9" ht="43.5" x14ac:dyDescent="0.35">
      <c r="A444">
        <v>2</v>
      </c>
      <c r="B444">
        <v>194</v>
      </c>
      <c r="C444" t="s">
        <v>829</v>
      </c>
      <c r="D444" s="64">
        <f>VLOOKUP(C444,'CHAS - Cook Co'!$C$1:$J$2762,2,FALSE) - VLOOKUP(C444,'CHAS - Chicago'!$C$1:$J$2762,2,FALSE)</f>
        <v>12370</v>
      </c>
      <c r="E444" t="s">
        <v>373</v>
      </c>
      <c r="F444" s="71" t="s">
        <v>508</v>
      </c>
      <c r="G444" s="71" t="s">
        <v>678</v>
      </c>
      <c r="H444" s="71" t="s">
        <v>406</v>
      </c>
      <c r="I444" s="71" t="s">
        <v>374</v>
      </c>
    </row>
    <row r="445" spans="1:9" ht="43.5" x14ac:dyDescent="0.35">
      <c r="A445">
        <v>2</v>
      </c>
      <c r="B445">
        <v>195</v>
      </c>
      <c r="C445" t="s">
        <v>830</v>
      </c>
      <c r="D445" s="64">
        <f>VLOOKUP(C445,'CHAS - Cook Co'!$C$1:$J$2762,2,FALSE) - VLOOKUP(C445,'CHAS - Chicago'!$C$1:$J$2762,2,FALSE)</f>
        <v>5665</v>
      </c>
      <c r="E445" t="s">
        <v>373</v>
      </c>
      <c r="F445" s="71" t="s">
        <v>508</v>
      </c>
      <c r="G445" s="71" t="s">
        <v>678</v>
      </c>
      <c r="H445" s="71" t="s">
        <v>406</v>
      </c>
      <c r="I445" s="71" t="s">
        <v>376</v>
      </c>
    </row>
    <row r="446" spans="1:9" ht="43.5" x14ac:dyDescent="0.35">
      <c r="A446">
        <v>2</v>
      </c>
      <c r="B446">
        <v>196</v>
      </c>
      <c r="C446" t="s">
        <v>831</v>
      </c>
      <c r="D446" s="64">
        <f>VLOOKUP(C446,'CHAS - Cook Co'!$C$1:$J$2762,2,FALSE) - VLOOKUP(C446,'CHAS - Chicago'!$C$1:$J$2762,2,FALSE)</f>
        <v>2320</v>
      </c>
      <c r="E446" t="s">
        <v>373</v>
      </c>
      <c r="F446" s="71" t="s">
        <v>508</v>
      </c>
      <c r="G446" s="71" t="s">
        <v>678</v>
      </c>
      <c r="H446" s="71" t="s">
        <v>406</v>
      </c>
      <c r="I446" s="71" t="s">
        <v>378</v>
      </c>
    </row>
    <row r="447" spans="1:9" ht="43.5" x14ac:dyDescent="0.35">
      <c r="A447">
        <v>2</v>
      </c>
      <c r="B447">
        <v>197</v>
      </c>
      <c r="C447" t="s">
        <v>832</v>
      </c>
      <c r="D447" s="64">
        <f>VLOOKUP(C447,'CHAS - Cook Co'!$C$1:$J$2762,2,FALSE) - VLOOKUP(C447,'CHAS - Chicago'!$C$1:$J$2762,2,FALSE)</f>
        <v>0</v>
      </c>
      <c r="E447" t="s">
        <v>373</v>
      </c>
      <c r="F447" s="71" t="s">
        <v>508</v>
      </c>
      <c r="G447" s="71" t="s">
        <v>678</v>
      </c>
      <c r="H447" s="71" t="s">
        <v>406</v>
      </c>
      <c r="I447" s="71" t="s">
        <v>380</v>
      </c>
    </row>
    <row r="448" spans="1:9" ht="43.5" x14ac:dyDescent="0.35">
      <c r="A448">
        <v>2</v>
      </c>
      <c r="B448">
        <v>198</v>
      </c>
      <c r="C448" t="s">
        <v>833</v>
      </c>
      <c r="D448" s="64">
        <f>VLOOKUP(C448,'CHAS - Cook Co'!$C$1:$J$2762,2,FALSE) - VLOOKUP(C448,'CHAS - Chicago'!$C$1:$J$2762,2,FALSE)</f>
        <v>10</v>
      </c>
      <c r="E448" t="s">
        <v>373</v>
      </c>
      <c r="F448" s="71" t="s">
        <v>508</v>
      </c>
      <c r="G448" s="71" t="s">
        <v>678</v>
      </c>
      <c r="H448" s="71" t="s">
        <v>406</v>
      </c>
      <c r="I448" s="71" t="s">
        <v>382</v>
      </c>
    </row>
    <row r="449" spans="1:9" ht="43.5" x14ac:dyDescent="0.35">
      <c r="A449">
        <v>2</v>
      </c>
      <c r="B449">
        <v>199</v>
      </c>
      <c r="C449" t="s">
        <v>834</v>
      </c>
      <c r="D449" s="64">
        <f>VLOOKUP(C449,'CHAS - Cook Co'!$C$1:$J$2762,2,FALSE) - VLOOKUP(C449,'CHAS - Chicago'!$C$1:$J$2762,2,FALSE)</f>
        <v>4985</v>
      </c>
      <c r="E449" t="s">
        <v>373</v>
      </c>
      <c r="F449" s="71" t="s">
        <v>508</v>
      </c>
      <c r="G449" s="71" t="s">
        <v>678</v>
      </c>
      <c r="H449" s="71" t="s">
        <v>406</v>
      </c>
      <c r="I449" s="71" t="s">
        <v>384</v>
      </c>
    </row>
    <row r="450" spans="1:9" ht="43.5" x14ac:dyDescent="0.35">
      <c r="A450">
        <v>2</v>
      </c>
      <c r="B450">
        <v>200</v>
      </c>
      <c r="C450" t="s">
        <v>835</v>
      </c>
      <c r="D450" s="64">
        <f>VLOOKUP(C450,'CHAS - Cook Co'!$C$1:$J$2762,2,FALSE) - VLOOKUP(C450,'CHAS - Chicago'!$C$1:$J$2762,2,FALSE)</f>
        <v>310</v>
      </c>
      <c r="E450" t="s">
        <v>373</v>
      </c>
      <c r="F450" s="71" t="s">
        <v>508</v>
      </c>
      <c r="G450" s="71" t="s">
        <v>678</v>
      </c>
      <c r="H450" s="71" t="s">
        <v>406</v>
      </c>
      <c r="I450" s="71" t="s">
        <v>386</v>
      </c>
    </row>
    <row r="451" spans="1:9" ht="43.5" x14ac:dyDescent="0.35">
      <c r="A451">
        <v>2</v>
      </c>
      <c r="B451">
        <v>201</v>
      </c>
      <c r="C451" t="s">
        <v>836</v>
      </c>
      <c r="D451" s="64">
        <f>VLOOKUP(C451,'CHAS - Cook Co'!$C$1:$J$2762,2,FALSE) - VLOOKUP(C451,'CHAS - Chicago'!$C$1:$J$2762,2,FALSE)</f>
        <v>59360</v>
      </c>
      <c r="E451" t="s">
        <v>366</v>
      </c>
      <c r="F451" s="71" t="s">
        <v>508</v>
      </c>
      <c r="G451" s="71" t="s">
        <v>678</v>
      </c>
      <c r="H451" s="71" t="s">
        <v>415</v>
      </c>
      <c r="I451" s="71" t="s">
        <v>364</v>
      </c>
    </row>
    <row r="452" spans="1:9" ht="43.5" x14ac:dyDescent="0.35">
      <c r="A452">
        <v>2</v>
      </c>
      <c r="B452">
        <v>202</v>
      </c>
      <c r="C452" t="s">
        <v>837</v>
      </c>
      <c r="D452" s="64">
        <f>VLOOKUP(C452,'CHAS - Cook Co'!$C$1:$J$2762,2,FALSE) - VLOOKUP(C452,'CHAS - Chicago'!$C$1:$J$2762,2,FALSE)</f>
        <v>32200</v>
      </c>
      <c r="E452" t="s">
        <v>373</v>
      </c>
      <c r="F452" s="71" t="s">
        <v>508</v>
      </c>
      <c r="G452" s="71" t="s">
        <v>678</v>
      </c>
      <c r="H452" s="71" t="s">
        <v>415</v>
      </c>
      <c r="I452" s="71" t="s">
        <v>374</v>
      </c>
    </row>
    <row r="453" spans="1:9" ht="43.5" x14ac:dyDescent="0.35">
      <c r="A453">
        <v>2</v>
      </c>
      <c r="B453">
        <v>203</v>
      </c>
      <c r="C453" t="s">
        <v>838</v>
      </c>
      <c r="D453" s="64">
        <f>VLOOKUP(C453,'CHAS - Cook Co'!$C$1:$J$2762,2,FALSE) - VLOOKUP(C453,'CHAS - Chicago'!$C$1:$J$2762,2,FALSE)</f>
        <v>10955</v>
      </c>
      <c r="E453" t="s">
        <v>373</v>
      </c>
      <c r="F453" s="71" t="s">
        <v>508</v>
      </c>
      <c r="G453" s="71" t="s">
        <v>678</v>
      </c>
      <c r="H453" s="71" t="s">
        <v>415</v>
      </c>
      <c r="I453" s="71" t="s">
        <v>376</v>
      </c>
    </row>
    <row r="454" spans="1:9" ht="43.5" x14ac:dyDescent="0.35">
      <c r="A454">
        <v>2</v>
      </c>
      <c r="B454">
        <v>204</v>
      </c>
      <c r="C454" t="s">
        <v>839</v>
      </c>
      <c r="D454" s="64">
        <f>VLOOKUP(C454,'CHAS - Cook Co'!$C$1:$J$2762,2,FALSE) - VLOOKUP(C454,'CHAS - Chicago'!$C$1:$J$2762,2,FALSE)</f>
        <v>8415</v>
      </c>
      <c r="E454" t="s">
        <v>373</v>
      </c>
      <c r="F454" s="71" t="s">
        <v>508</v>
      </c>
      <c r="G454" s="71" t="s">
        <v>678</v>
      </c>
      <c r="H454" s="71" t="s">
        <v>415</v>
      </c>
      <c r="I454" s="71" t="s">
        <v>378</v>
      </c>
    </row>
    <row r="455" spans="1:9" ht="43.5" x14ac:dyDescent="0.35">
      <c r="A455">
        <v>2</v>
      </c>
      <c r="B455">
        <v>205</v>
      </c>
      <c r="C455" t="s">
        <v>840</v>
      </c>
      <c r="D455" s="64">
        <f>VLOOKUP(C455,'CHAS - Cook Co'!$C$1:$J$2762,2,FALSE) - VLOOKUP(C455,'CHAS - Chicago'!$C$1:$J$2762,2,FALSE)</f>
        <v>0</v>
      </c>
      <c r="E455" t="s">
        <v>373</v>
      </c>
      <c r="F455" s="71" t="s">
        <v>508</v>
      </c>
      <c r="G455" s="71" t="s">
        <v>678</v>
      </c>
      <c r="H455" s="71" t="s">
        <v>415</v>
      </c>
      <c r="I455" s="71" t="s">
        <v>380</v>
      </c>
    </row>
    <row r="456" spans="1:9" ht="43.5" x14ac:dyDescent="0.35">
      <c r="A456">
        <v>2</v>
      </c>
      <c r="B456">
        <v>206</v>
      </c>
      <c r="C456" t="s">
        <v>841</v>
      </c>
      <c r="D456" s="64">
        <f>VLOOKUP(C456,'CHAS - Cook Co'!$C$1:$J$2762,2,FALSE) - VLOOKUP(C456,'CHAS - Chicago'!$C$1:$J$2762,2,FALSE)</f>
        <v>35</v>
      </c>
      <c r="E456" t="s">
        <v>373</v>
      </c>
      <c r="F456" s="71" t="s">
        <v>508</v>
      </c>
      <c r="G456" s="71" t="s">
        <v>678</v>
      </c>
      <c r="H456" s="71" t="s">
        <v>415</v>
      </c>
      <c r="I456" s="71" t="s">
        <v>382</v>
      </c>
    </row>
    <row r="457" spans="1:9" ht="43.5" x14ac:dyDescent="0.35">
      <c r="A457">
        <v>2</v>
      </c>
      <c r="B457">
        <v>207</v>
      </c>
      <c r="C457" t="s">
        <v>842</v>
      </c>
      <c r="D457" s="64">
        <f>VLOOKUP(C457,'CHAS - Cook Co'!$C$1:$J$2762,2,FALSE) - VLOOKUP(C457,'CHAS - Chicago'!$C$1:$J$2762,2,FALSE)</f>
        <v>6855</v>
      </c>
      <c r="E457" t="s">
        <v>373</v>
      </c>
      <c r="F457" s="71" t="s">
        <v>508</v>
      </c>
      <c r="G457" s="71" t="s">
        <v>678</v>
      </c>
      <c r="H457" s="71" t="s">
        <v>415</v>
      </c>
      <c r="I457" s="71" t="s">
        <v>384</v>
      </c>
    </row>
    <row r="458" spans="1:9" ht="43.5" x14ac:dyDescent="0.35">
      <c r="A458">
        <v>2</v>
      </c>
      <c r="B458">
        <v>208</v>
      </c>
      <c r="C458" t="s">
        <v>843</v>
      </c>
      <c r="D458" s="64">
        <f>VLOOKUP(C458,'CHAS - Cook Co'!$C$1:$J$2762,2,FALSE) - VLOOKUP(C458,'CHAS - Chicago'!$C$1:$J$2762,2,FALSE)</f>
        <v>890</v>
      </c>
      <c r="E458" t="s">
        <v>373</v>
      </c>
      <c r="F458" s="71" t="s">
        <v>508</v>
      </c>
      <c r="G458" s="71" t="s">
        <v>678</v>
      </c>
      <c r="H458" s="71" t="s">
        <v>415</v>
      </c>
      <c r="I458" s="71" t="s">
        <v>386</v>
      </c>
    </row>
    <row r="459" spans="1:9" ht="58" x14ac:dyDescent="0.35">
      <c r="A459">
        <v>2</v>
      </c>
      <c r="B459">
        <v>209</v>
      </c>
      <c r="C459" t="s">
        <v>844</v>
      </c>
      <c r="D459" s="64">
        <f>VLOOKUP(C459,'CHAS - Cook Co'!$C$1:$J$2762,2,FALSE) - VLOOKUP(C459,'CHAS - Chicago'!$C$1:$J$2762,2,FALSE)</f>
        <v>8560</v>
      </c>
      <c r="E459" t="s">
        <v>366</v>
      </c>
      <c r="F459" s="71" t="s">
        <v>508</v>
      </c>
      <c r="G459" s="71" t="s">
        <v>720</v>
      </c>
      <c r="H459" s="71" t="s">
        <v>363</v>
      </c>
      <c r="I459" s="71" t="s">
        <v>364</v>
      </c>
    </row>
    <row r="460" spans="1:9" ht="58" x14ac:dyDescent="0.35">
      <c r="A460">
        <v>2</v>
      </c>
      <c r="B460">
        <v>210</v>
      </c>
      <c r="C460" t="s">
        <v>845</v>
      </c>
      <c r="D460" s="64">
        <f>VLOOKUP(C460,'CHAS - Cook Co'!$C$1:$J$2762,2,FALSE) - VLOOKUP(C460,'CHAS - Chicago'!$C$1:$J$2762,2,FALSE)</f>
        <v>8560</v>
      </c>
      <c r="E460" t="s">
        <v>366</v>
      </c>
      <c r="F460" s="71" t="s">
        <v>508</v>
      </c>
      <c r="G460" s="71" t="s">
        <v>720</v>
      </c>
      <c r="H460" s="71" t="s">
        <v>371</v>
      </c>
      <c r="I460" s="71" t="s">
        <v>364</v>
      </c>
    </row>
    <row r="461" spans="1:9" ht="58" x14ac:dyDescent="0.35">
      <c r="A461">
        <v>2</v>
      </c>
      <c r="B461">
        <v>211</v>
      </c>
      <c r="C461" t="s">
        <v>846</v>
      </c>
      <c r="D461" s="64">
        <f>VLOOKUP(C461,'CHAS - Cook Co'!$C$1:$J$2762,2,FALSE) - VLOOKUP(C461,'CHAS - Chicago'!$C$1:$J$2762,2,FALSE)</f>
        <v>2550</v>
      </c>
      <c r="E461" t="s">
        <v>373</v>
      </c>
      <c r="F461" s="71" t="s">
        <v>508</v>
      </c>
      <c r="G461" s="71" t="s">
        <v>720</v>
      </c>
      <c r="H461" s="71" t="s">
        <v>371</v>
      </c>
      <c r="I461" s="71" t="s">
        <v>374</v>
      </c>
    </row>
    <row r="462" spans="1:9" ht="58" x14ac:dyDescent="0.35">
      <c r="A462">
        <v>2</v>
      </c>
      <c r="B462">
        <v>212</v>
      </c>
      <c r="C462" t="s">
        <v>847</v>
      </c>
      <c r="D462" s="64">
        <f>VLOOKUP(C462,'CHAS - Cook Co'!$C$1:$J$2762,2,FALSE) - VLOOKUP(C462,'CHAS - Chicago'!$C$1:$J$2762,2,FALSE)</f>
        <v>4510</v>
      </c>
      <c r="E462" t="s">
        <v>373</v>
      </c>
      <c r="F462" s="71" t="s">
        <v>508</v>
      </c>
      <c r="G462" s="71" t="s">
        <v>720</v>
      </c>
      <c r="H462" s="71" t="s">
        <v>371</v>
      </c>
      <c r="I462" s="71" t="s">
        <v>376</v>
      </c>
    </row>
    <row r="463" spans="1:9" ht="58" x14ac:dyDescent="0.35">
      <c r="A463">
        <v>2</v>
      </c>
      <c r="B463">
        <v>213</v>
      </c>
      <c r="C463" t="s">
        <v>848</v>
      </c>
      <c r="D463" s="64">
        <f>VLOOKUP(C463,'CHAS - Cook Co'!$C$1:$J$2762,2,FALSE) - VLOOKUP(C463,'CHAS - Chicago'!$C$1:$J$2762,2,FALSE)</f>
        <v>495</v>
      </c>
      <c r="E463" t="s">
        <v>373</v>
      </c>
      <c r="F463" s="71" t="s">
        <v>508</v>
      </c>
      <c r="G463" s="71" t="s">
        <v>720</v>
      </c>
      <c r="H463" s="71" t="s">
        <v>371</v>
      </c>
      <c r="I463" s="71" t="s">
        <v>378</v>
      </c>
    </row>
    <row r="464" spans="1:9" ht="58" x14ac:dyDescent="0.35">
      <c r="A464">
        <v>2</v>
      </c>
      <c r="B464">
        <v>214</v>
      </c>
      <c r="C464" t="s">
        <v>849</v>
      </c>
      <c r="D464" s="64">
        <f>VLOOKUP(C464,'CHAS - Cook Co'!$C$1:$J$2762,2,FALSE) - VLOOKUP(C464,'CHAS - Chicago'!$C$1:$J$2762,2,FALSE)</f>
        <v>0</v>
      </c>
      <c r="E464" t="s">
        <v>373</v>
      </c>
      <c r="F464" s="71" t="s">
        <v>508</v>
      </c>
      <c r="G464" s="71" t="s">
        <v>720</v>
      </c>
      <c r="H464" s="71" t="s">
        <v>371</v>
      </c>
      <c r="I464" s="71" t="s">
        <v>380</v>
      </c>
    </row>
    <row r="465" spans="1:9" ht="58" x14ac:dyDescent="0.35">
      <c r="A465">
        <v>2</v>
      </c>
      <c r="B465">
        <v>215</v>
      </c>
      <c r="C465" t="s">
        <v>850</v>
      </c>
      <c r="D465" s="64">
        <f>VLOOKUP(C465,'CHAS - Cook Co'!$C$1:$J$2762,2,FALSE) - VLOOKUP(C465,'CHAS - Chicago'!$C$1:$J$2762,2,FALSE)</f>
        <v>0</v>
      </c>
      <c r="E465" t="s">
        <v>373</v>
      </c>
      <c r="F465" s="71" t="s">
        <v>508</v>
      </c>
      <c r="G465" s="71" t="s">
        <v>720</v>
      </c>
      <c r="H465" s="71" t="s">
        <v>371</v>
      </c>
      <c r="I465" s="71" t="s">
        <v>382</v>
      </c>
    </row>
    <row r="466" spans="1:9" ht="58" x14ac:dyDescent="0.35">
      <c r="A466">
        <v>2</v>
      </c>
      <c r="B466">
        <v>216</v>
      </c>
      <c r="C466" t="s">
        <v>851</v>
      </c>
      <c r="D466" s="64">
        <f>VLOOKUP(C466,'CHAS - Cook Co'!$C$1:$J$2762,2,FALSE) - VLOOKUP(C466,'CHAS - Chicago'!$C$1:$J$2762,2,FALSE)</f>
        <v>865</v>
      </c>
      <c r="E466" t="s">
        <v>373</v>
      </c>
      <c r="F466" s="71" t="s">
        <v>508</v>
      </c>
      <c r="G466" s="71" t="s">
        <v>720</v>
      </c>
      <c r="H466" s="71" t="s">
        <v>371</v>
      </c>
      <c r="I466" s="71" t="s">
        <v>384</v>
      </c>
    </row>
    <row r="467" spans="1:9" ht="58" x14ac:dyDescent="0.35">
      <c r="A467">
        <v>2</v>
      </c>
      <c r="B467">
        <v>217</v>
      </c>
      <c r="C467" t="s">
        <v>852</v>
      </c>
      <c r="D467" s="64">
        <f>VLOOKUP(C467,'CHAS - Cook Co'!$C$1:$J$2762,2,FALSE) - VLOOKUP(C467,'CHAS - Chicago'!$C$1:$J$2762,2,FALSE)</f>
        <v>145</v>
      </c>
      <c r="E467" t="s">
        <v>373</v>
      </c>
      <c r="F467" s="71" t="s">
        <v>508</v>
      </c>
      <c r="G467" s="71" t="s">
        <v>720</v>
      </c>
      <c r="H467" s="71" t="s">
        <v>371</v>
      </c>
      <c r="I467" s="71" t="s">
        <v>386</v>
      </c>
    </row>
    <row r="468" spans="1:9" ht="58" x14ac:dyDescent="0.35">
      <c r="A468">
        <v>2</v>
      </c>
      <c r="B468">
        <v>218</v>
      </c>
      <c r="C468" t="s">
        <v>853</v>
      </c>
      <c r="D468" s="64">
        <f>VLOOKUP(C468,'CHAS - Cook Co'!$C$1:$J$2762,2,FALSE) - VLOOKUP(C468,'CHAS - Chicago'!$C$1:$J$2762,2,FALSE)</f>
        <v>0</v>
      </c>
      <c r="E468" t="s">
        <v>366</v>
      </c>
      <c r="F468" s="71" t="s">
        <v>508</v>
      </c>
      <c r="G468" s="71" t="s">
        <v>720</v>
      </c>
      <c r="H468" s="71" t="s">
        <v>388</v>
      </c>
      <c r="I468" s="71" t="s">
        <v>364</v>
      </c>
    </row>
    <row r="469" spans="1:9" ht="58" x14ac:dyDescent="0.35">
      <c r="A469">
        <v>2</v>
      </c>
      <c r="B469">
        <v>219</v>
      </c>
      <c r="C469" t="s">
        <v>854</v>
      </c>
      <c r="D469" s="64">
        <f>VLOOKUP(C469,'CHAS - Cook Co'!$C$1:$J$2762,2,FALSE) - VLOOKUP(C469,'CHAS - Chicago'!$C$1:$J$2762,2,FALSE)</f>
        <v>0</v>
      </c>
      <c r="E469" t="s">
        <v>373</v>
      </c>
      <c r="F469" s="71" t="s">
        <v>508</v>
      </c>
      <c r="G469" s="71" t="s">
        <v>720</v>
      </c>
      <c r="H469" s="71" t="s">
        <v>388</v>
      </c>
      <c r="I469" s="71" t="s">
        <v>374</v>
      </c>
    </row>
    <row r="470" spans="1:9" ht="58" x14ac:dyDescent="0.35">
      <c r="A470">
        <v>2</v>
      </c>
      <c r="B470">
        <v>220</v>
      </c>
      <c r="C470" t="s">
        <v>855</v>
      </c>
      <c r="D470" s="64">
        <f>VLOOKUP(C470,'CHAS - Cook Co'!$C$1:$J$2762,2,FALSE) - VLOOKUP(C470,'CHAS - Chicago'!$C$1:$J$2762,2,FALSE)</f>
        <v>0</v>
      </c>
      <c r="E470" t="s">
        <v>373</v>
      </c>
      <c r="F470" s="71" t="s">
        <v>508</v>
      </c>
      <c r="G470" s="71" t="s">
        <v>720</v>
      </c>
      <c r="H470" s="71" t="s">
        <v>388</v>
      </c>
      <c r="I470" s="71" t="s">
        <v>376</v>
      </c>
    </row>
    <row r="471" spans="1:9" ht="58" x14ac:dyDescent="0.35">
      <c r="A471">
        <v>2</v>
      </c>
      <c r="B471">
        <v>221</v>
      </c>
      <c r="C471" t="s">
        <v>856</v>
      </c>
      <c r="D471" s="64">
        <f>VLOOKUP(C471,'CHAS - Cook Co'!$C$1:$J$2762,2,FALSE) - VLOOKUP(C471,'CHAS - Chicago'!$C$1:$J$2762,2,FALSE)</f>
        <v>0</v>
      </c>
      <c r="E471" t="s">
        <v>373</v>
      </c>
      <c r="F471" s="71" t="s">
        <v>508</v>
      </c>
      <c r="G471" s="71" t="s">
        <v>720</v>
      </c>
      <c r="H471" s="71" t="s">
        <v>388</v>
      </c>
      <c r="I471" s="71" t="s">
        <v>378</v>
      </c>
    </row>
    <row r="472" spans="1:9" ht="58" x14ac:dyDescent="0.35">
      <c r="A472">
        <v>2</v>
      </c>
      <c r="B472">
        <v>222</v>
      </c>
      <c r="C472" t="s">
        <v>857</v>
      </c>
      <c r="D472" s="64">
        <f>VLOOKUP(C472,'CHAS - Cook Co'!$C$1:$J$2762,2,FALSE) - VLOOKUP(C472,'CHAS - Chicago'!$C$1:$J$2762,2,FALSE)</f>
        <v>0</v>
      </c>
      <c r="E472" t="s">
        <v>373</v>
      </c>
      <c r="F472" s="71" t="s">
        <v>508</v>
      </c>
      <c r="G472" s="71" t="s">
        <v>720</v>
      </c>
      <c r="H472" s="71" t="s">
        <v>388</v>
      </c>
      <c r="I472" s="71" t="s">
        <v>380</v>
      </c>
    </row>
    <row r="473" spans="1:9" ht="58" x14ac:dyDescent="0.35">
      <c r="A473">
        <v>2</v>
      </c>
      <c r="B473">
        <v>223</v>
      </c>
      <c r="C473" t="s">
        <v>858</v>
      </c>
      <c r="D473" s="64">
        <f>VLOOKUP(C473,'CHAS - Cook Co'!$C$1:$J$2762,2,FALSE) - VLOOKUP(C473,'CHAS - Chicago'!$C$1:$J$2762,2,FALSE)</f>
        <v>0</v>
      </c>
      <c r="E473" t="s">
        <v>373</v>
      </c>
      <c r="F473" s="71" t="s">
        <v>508</v>
      </c>
      <c r="G473" s="71" t="s">
        <v>720</v>
      </c>
      <c r="H473" s="71" t="s">
        <v>388</v>
      </c>
      <c r="I473" s="71" t="s">
        <v>382</v>
      </c>
    </row>
    <row r="474" spans="1:9" ht="58" x14ac:dyDescent="0.35">
      <c r="A474">
        <v>2</v>
      </c>
      <c r="B474">
        <v>224</v>
      </c>
      <c r="C474" t="s">
        <v>859</v>
      </c>
      <c r="D474" s="64">
        <f>VLOOKUP(C474,'CHAS - Cook Co'!$C$1:$J$2762,2,FALSE) - VLOOKUP(C474,'CHAS - Chicago'!$C$1:$J$2762,2,FALSE)</f>
        <v>0</v>
      </c>
      <c r="E474" t="s">
        <v>373</v>
      </c>
      <c r="F474" s="71" t="s">
        <v>508</v>
      </c>
      <c r="G474" s="71" t="s">
        <v>720</v>
      </c>
      <c r="H474" s="71" t="s">
        <v>388</v>
      </c>
      <c r="I474" s="71" t="s">
        <v>384</v>
      </c>
    </row>
    <row r="475" spans="1:9" ht="58" x14ac:dyDescent="0.35">
      <c r="A475">
        <v>2</v>
      </c>
      <c r="B475">
        <v>225</v>
      </c>
      <c r="C475" t="s">
        <v>860</v>
      </c>
      <c r="D475" s="64">
        <f>VLOOKUP(C475,'CHAS - Cook Co'!$C$1:$J$2762,2,FALSE) - VLOOKUP(C475,'CHAS - Chicago'!$C$1:$J$2762,2,FALSE)</f>
        <v>0</v>
      </c>
      <c r="E475" t="s">
        <v>373</v>
      </c>
      <c r="F475" s="71" t="s">
        <v>508</v>
      </c>
      <c r="G475" s="71" t="s">
        <v>720</v>
      </c>
      <c r="H475" s="71" t="s">
        <v>388</v>
      </c>
      <c r="I475" s="71" t="s">
        <v>386</v>
      </c>
    </row>
    <row r="476" spans="1:9" ht="58" x14ac:dyDescent="0.35">
      <c r="A476">
        <v>2</v>
      </c>
      <c r="B476">
        <v>226</v>
      </c>
      <c r="C476" t="s">
        <v>861</v>
      </c>
      <c r="D476" s="64">
        <f>VLOOKUP(C476,'CHAS - Cook Co'!$C$1:$J$2762,2,FALSE) - VLOOKUP(C476,'CHAS - Chicago'!$C$1:$J$2762,2,FALSE)</f>
        <v>0</v>
      </c>
      <c r="E476" t="s">
        <v>366</v>
      </c>
      <c r="F476" s="71" t="s">
        <v>508</v>
      </c>
      <c r="G476" s="71" t="s">
        <v>720</v>
      </c>
      <c r="H476" s="71" t="s">
        <v>397</v>
      </c>
      <c r="I476" s="71" t="s">
        <v>364</v>
      </c>
    </row>
    <row r="477" spans="1:9" ht="58" x14ac:dyDescent="0.35">
      <c r="A477">
        <v>2</v>
      </c>
      <c r="B477">
        <v>227</v>
      </c>
      <c r="C477" t="s">
        <v>862</v>
      </c>
      <c r="D477" s="64">
        <f>VLOOKUP(C477,'CHAS - Cook Co'!$C$1:$J$2762,2,FALSE) - VLOOKUP(C477,'CHAS - Chicago'!$C$1:$J$2762,2,FALSE)</f>
        <v>0</v>
      </c>
      <c r="E477" t="s">
        <v>373</v>
      </c>
      <c r="F477" s="71" t="s">
        <v>508</v>
      </c>
      <c r="G477" s="71" t="s">
        <v>720</v>
      </c>
      <c r="H477" s="71" t="s">
        <v>397</v>
      </c>
      <c r="I477" s="71" t="s">
        <v>374</v>
      </c>
    </row>
    <row r="478" spans="1:9" ht="58" x14ac:dyDescent="0.35">
      <c r="A478">
        <v>2</v>
      </c>
      <c r="B478">
        <v>228</v>
      </c>
      <c r="C478" t="s">
        <v>863</v>
      </c>
      <c r="D478" s="64">
        <f>VLOOKUP(C478,'CHAS - Cook Co'!$C$1:$J$2762,2,FALSE) - VLOOKUP(C478,'CHAS - Chicago'!$C$1:$J$2762,2,FALSE)</f>
        <v>0</v>
      </c>
      <c r="E478" t="s">
        <v>373</v>
      </c>
      <c r="F478" s="71" t="s">
        <v>508</v>
      </c>
      <c r="G478" s="71" t="s">
        <v>720</v>
      </c>
      <c r="H478" s="71" t="s">
        <v>397</v>
      </c>
      <c r="I478" s="71" t="s">
        <v>376</v>
      </c>
    </row>
    <row r="479" spans="1:9" ht="58" x14ac:dyDescent="0.35">
      <c r="A479">
        <v>2</v>
      </c>
      <c r="B479">
        <v>229</v>
      </c>
      <c r="C479" t="s">
        <v>864</v>
      </c>
      <c r="D479" s="64">
        <f>VLOOKUP(C479,'CHAS - Cook Co'!$C$1:$J$2762,2,FALSE) - VLOOKUP(C479,'CHAS - Chicago'!$C$1:$J$2762,2,FALSE)</f>
        <v>0</v>
      </c>
      <c r="E479" t="s">
        <v>373</v>
      </c>
      <c r="F479" s="71" t="s">
        <v>508</v>
      </c>
      <c r="G479" s="71" t="s">
        <v>720</v>
      </c>
      <c r="H479" s="71" t="s">
        <v>397</v>
      </c>
      <c r="I479" s="71" t="s">
        <v>378</v>
      </c>
    </row>
    <row r="480" spans="1:9" ht="58" x14ac:dyDescent="0.35">
      <c r="A480">
        <v>2</v>
      </c>
      <c r="B480">
        <v>230</v>
      </c>
      <c r="C480" t="s">
        <v>865</v>
      </c>
      <c r="D480" s="64">
        <f>VLOOKUP(C480,'CHAS - Cook Co'!$C$1:$J$2762,2,FALSE) - VLOOKUP(C480,'CHAS - Chicago'!$C$1:$J$2762,2,FALSE)</f>
        <v>0</v>
      </c>
      <c r="E480" t="s">
        <v>373</v>
      </c>
      <c r="F480" s="71" t="s">
        <v>508</v>
      </c>
      <c r="G480" s="71" t="s">
        <v>720</v>
      </c>
      <c r="H480" s="71" t="s">
        <v>397</v>
      </c>
      <c r="I480" s="71" t="s">
        <v>380</v>
      </c>
    </row>
    <row r="481" spans="1:9" ht="58" x14ac:dyDescent="0.35">
      <c r="A481">
        <v>2</v>
      </c>
      <c r="B481">
        <v>231</v>
      </c>
      <c r="C481" t="s">
        <v>866</v>
      </c>
      <c r="D481" s="64">
        <f>VLOOKUP(C481,'CHAS - Cook Co'!$C$1:$J$2762,2,FALSE) - VLOOKUP(C481,'CHAS - Chicago'!$C$1:$J$2762,2,FALSE)</f>
        <v>0</v>
      </c>
      <c r="E481" t="s">
        <v>373</v>
      </c>
      <c r="F481" s="71" t="s">
        <v>508</v>
      </c>
      <c r="G481" s="71" t="s">
        <v>720</v>
      </c>
      <c r="H481" s="71" t="s">
        <v>397</v>
      </c>
      <c r="I481" s="71" t="s">
        <v>382</v>
      </c>
    </row>
    <row r="482" spans="1:9" ht="58" x14ac:dyDescent="0.35">
      <c r="A482">
        <v>2</v>
      </c>
      <c r="B482">
        <v>232</v>
      </c>
      <c r="C482" t="s">
        <v>867</v>
      </c>
      <c r="D482" s="64">
        <f>VLOOKUP(C482,'CHAS - Cook Co'!$C$1:$J$2762,2,FALSE) - VLOOKUP(C482,'CHAS - Chicago'!$C$1:$J$2762,2,FALSE)</f>
        <v>0</v>
      </c>
      <c r="E482" t="s">
        <v>373</v>
      </c>
      <c r="F482" s="71" t="s">
        <v>508</v>
      </c>
      <c r="G482" s="71" t="s">
        <v>720</v>
      </c>
      <c r="H482" s="71" t="s">
        <v>397</v>
      </c>
      <c r="I482" s="71" t="s">
        <v>384</v>
      </c>
    </row>
    <row r="483" spans="1:9" ht="58" x14ac:dyDescent="0.35">
      <c r="A483">
        <v>2</v>
      </c>
      <c r="B483">
        <v>233</v>
      </c>
      <c r="C483" t="s">
        <v>868</v>
      </c>
      <c r="D483" s="64">
        <f>VLOOKUP(C483,'CHAS - Cook Co'!$C$1:$J$2762,2,FALSE) - VLOOKUP(C483,'CHAS - Chicago'!$C$1:$J$2762,2,FALSE)</f>
        <v>0</v>
      </c>
      <c r="E483" t="s">
        <v>373</v>
      </c>
      <c r="F483" s="71" t="s">
        <v>508</v>
      </c>
      <c r="G483" s="71" t="s">
        <v>720</v>
      </c>
      <c r="H483" s="71" t="s">
        <v>397</v>
      </c>
      <c r="I483" s="71" t="s">
        <v>386</v>
      </c>
    </row>
    <row r="484" spans="1:9" ht="58" x14ac:dyDescent="0.35">
      <c r="A484">
        <v>2</v>
      </c>
      <c r="B484">
        <v>234</v>
      </c>
      <c r="C484" t="s">
        <v>869</v>
      </c>
      <c r="D484" s="64">
        <f>VLOOKUP(C484,'CHAS - Cook Co'!$C$1:$J$2762,2,FALSE) - VLOOKUP(C484,'CHAS - Chicago'!$C$1:$J$2762,2,FALSE)</f>
        <v>0</v>
      </c>
      <c r="E484" t="s">
        <v>366</v>
      </c>
      <c r="F484" s="71" t="s">
        <v>508</v>
      </c>
      <c r="G484" s="71" t="s">
        <v>720</v>
      </c>
      <c r="H484" s="71" t="s">
        <v>406</v>
      </c>
      <c r="I484" s="71" t="s">
        <v>364</v>
      </c>
    </row>
    <row r="485" spans="1:9" ht="58" x14ac:dyDescent="0.35">
      <c r="A485">
        <v>2</v>
      </c>
      <c r="B485">
        <v>235</v>
      </c>
      <c r="C485" t="s">
        <v>870</v>
      </c>
      <c r="D485" s="64">
        <f>VLOOKUP(C485,'CHAS - Cook Co'!$C$1:$J$2762,2,FALSE) - VLOOKUP(C485,'CHAS - Chicago'!$C$1:$J$2762,2,FALSE)</f>
        <v>0</v>
      </c>
      <c r="E485" t="s">
        <v>373</v>
      </c>
      <c r="F485" s="71" t="s">
        <v>508</v>
      </c>
      <c r="G485" s="71" t="s">
        <v>720</v>
      </c>
      <c r="H485" s="71" t="s">
        <v>406</v>
      </c>
      <c r="I485" s="71" t="s">
        <v>374</v>
      </c>
    </row>
    <row r="486" spans="1:9" ht="58" x14ac:dyDescent="0.35">
      <c r="A486">
        <v>2</v>
      </c>
      <c r="B486">
        <v>236</v>
      </c>
      <c r="C486" t="s">
        <v>871</v>
      </c>
      <c r="D486" s="64">
        <f>VLOOKUP(C486,'CHAS - Cook Co'!$C$1:$J$2762,2,FALSE) - VLOOKUP(C486,'CHAS - Chicago'!$C$1:$J$2762,2,FALSE)</f>
        <v>0</v>
      </c>
      <c r="E486" t="s">
        <v>373</v>
      </c>
      <c r="F486" s="71" t="s">
        <v>508</v>
      </c>
      <c r="G486" s="71" t="s">
        <v>720</v>
      </c>
      <c r="H486" s="71" t="s">
        <v>406</v>
      </c>
      <c r="I486" s="71" t="s">
        <v>376</v>
      </c>
    </row>
    <row r="487" spans="1:9" ht="58" x14ac:dyDescent="0.35">
      <c r="A487">
        <v>2</v>
      </c>
      <c r="B487">
        <v>237</v>
      </c>
      <c r="C487" t="s">
        <v>872</v>
      </c>
      <c r="D487" s="64">
        <f>VLOOKUP(C487,'CHAS - Cook Co'!$C$1:$J$2762,2,FALSE) - VLOOKUP(C487,'CHAS - Chicago'!$C$1:$J$2762,2,FALSE)</f>
        <v>0</v>
      </c>
      <c r="E487" t="s">
        <v>373</v>
      </c>
      <c r="F487" s="71" t="s">
        <v>508</v>
      </c>
      <c r="G487" s="71" t="s">
        <v>720</v>
      </c>
      <c r="H487" s="71" t="s">
        <v>406</v>
      </c>
      <c r="I487" s="71" t="s">
        <v>378</v>
      </c>
    </row>
    <row r="488" spans="1:9" ht="58" x14ac:dyDescent="0.35">
      <c r="A488">
        <v>2</v>
      </c>
      <c r="B488">
        <v>238</v>
      </c>
      <c r="C488" t="s">
        <v>873</v>
      </c>
      <c r="D488" s="64">
        <f>VLOOKUP(C488,'CHAS - Cook Co'!$C$1:$J$2762,2,FALSE) - VLOOKUP(C488,'CHAS - Chicago'!$C$1:$J$2762,2,FALSE)</f>
        <v>0</v>
      </c>
      <c r="E488" t="s">
        <v>373</v>
      </c>
      <c r="F488" s="71" t="s">
        <v>508</v>
      </c>
      <c r="G488" s="71" t="s">
        <v>720</v>
      </c>
      <c r="H488" s="71" t="s">
        <v>406</v>
      </c>
      <c r="I488" s="71" t="s">
        <v>380</v>
      </c>
    </row>
    <row r="489" spans="1:9" ht="58" x14ac:dyDescent="0.35">
      <c r="A489">
        <v>2</v>
      </c>
      <c r="B489">
        <v>239</v>
      </c>
      <c r="C489" t="s">
        <v>874</v>
      </c>
      <c r="D489" s="64">
        <f>VLOOKUP(C489,'CHAS - Cook Co'!$C$1:$J$2762,2,FALSE) - VLOOKUP(C489,'CHAS - Chicago'!$C$1:$J$2762,2,FALSE)</f>
        <v>0</v>
      </c>
      <c r="E489" t="s">
        <v>373</v>
      </c>
      <c r="F489" s="71" t="s">
        <v>508</v>
      </c>
      <c r="G489" s="71" t="s">
        <v>720</v>
      </c>
      <c r="H489" s="71" t="s">
        <v>406</v>
      </c>
      <c r="I489" s="71" t="s">
        <v>382</v>
      </c>
    </row>
    <row r="490" spans="1:9" ht="58" x14ac:dyDescent="0.35">
      <c r="A490">
        <v>2</v>
      </c>
      <c r="B490">
        <v>240</v>
      </c>
      <c r="C490" t="s">
        <v>875</v>
      </c>
      <c r="D490" s="64">
        <f>VLOOKUP(C490,'CHAS - Cook Co'!$C$1:$J$2762,2,FALSE) - VLOOKUP(C490,'CHAS - Chicago'!$C$1:$J$2762,2,FALSE)</f>
        <v>0</v>
      </c>
      <c r="E490" t="s">
        <v>373</v>
      </c>
      <c r="F490" s="71" t="s">
        <v>508</v>
      </c>
      <c r="G490" s="71" t="s">
        <v>720</v>
      </c>
      <c r="H490" s="71" t="s">
        <v>406</v>
      </c>
      <c r="I490" s="71" t="s">
        <v>384</v>
      </c>
    </row>
    <row r="491" spans="1:9" ht="58" x14ac:dyDescent="0.35">
      <c r="A491">
        <v>2</v>
      </c>
      <c r="B491">
        <v>241</v>
      </c>
      <c r="C491" t="s">
        <v>876</v>
      </c>
      <c r="D491" s="64">
        <f>VLOOKUP(C491,'CHAS - Cook Co'!$C$1:$J$2762,2,FALSE) - VLOOKUP(C491,'CHAS - Chicago'!$C$1:$J$2762,2,FALSE)</f>
        <v>0</v>
      </c>
      <c r="E491" t="s">
        <v>373</v>
      </c>
      <c r="F491" s="71" t="s">
        <v>508</v>
      </c>
      <c r="G491" s="71" t="s">
        <v>720</v>
      </c>
      <c r="H491" s="71" t="s">
        <v>406</v>
      </c>
      <c r="I491" s="71" t="s">
        <v>386</v>
      </c>
    </row>
    <row r="492" spans="1:9" ht="58" x14ac:dyDescent="0.35">
      <c r="A492">
        <v>2</v>
      </c>
      <c r="B492">
        <v>242</v>
      </c>
      <c r="C492" t="s">
        <v>877</v>
      </c>
      <c r="D492" s="64">
        <f>VLOOKUP(C492,'CHAS - Cook Co'!$C$1:$J$2762,2,FALSE) - VLOOKUP(C492,'CHAS - Chicago'!$C$1:$J$2762,2,FALSE)</f>
        <v>0</v>
      </c>
      <c r="E492" t="s">
        <v>366</v>
      </c>
      <c r="F492" s="71" t="s">
        <v>508</v>
      </c>
      <c r="G492" s="71" t="s">
        <v>720</v>
      </c>
      <c r="H492" s="71" t="s">
        <v>415</v>
      </c>
      <c r="I492" s="71" t="s">
        <v>364</v>
      </c>
    </row>
    <row r="493" spans="1:9" ht="58" x14ac:dyDescent="0.35">
      <c r="A493">
        <v>2</v>
      </c>
      <c r="B493">
        <v>243</v>
      </c>
      <c r="C493" t="s">
        <v>878</v>
      </c>
      <c r="D493" s="64">
        <f>VLOOKUP(C493,'CHAS - Cook Co'!$C$1:$J$2762,2,FALSE) - VLOOKUP(C493,'CHAS - Chicago'!$C$1:$J$2762,2,FALSE)</f>
        <v>0</v>
      </c>
      <c r="E493" t="s">
        <v>373</v>
      </c>
      <c r="F493" s="71" t="s">
        <v>508</v>
      </c>
      <c r="G493" s="71" t="s">
        <v>720</v>
      </c>
      <c r="H493" s="71" t="s">
        <v>415</v>
      </c>
      <c r="I493" s="71" t="s">
        <v>374</v>
      </c>
    </row>
    <row r="494" spans="1:9" ht="58" x14ac:dyDescent="0.35">
      <c r="A494">
        <v>2</v>
      </c>
      <c r="B494">
        <v>244</v>
      </c>
      <c r="C494" t="s">
        <v>879</v>
      </c>
      <c r="D494" s="64">
        <f>VLOOKUP(C494,'CHAS - Cook Co'!$C$1:$J$2762,2,FALSE) - VLOOKUP(C494,'CHAS - Chicago'!$C$1:$J$2762,2,FALSE)</f>
        <v>0</v>
      </c>
      <c r="E494" t="s">
        <v>373</v>
      </c>
      <c r="F494" s="71" t="s">
        <v>508</v>
      </c>
      <c r="G494" s="71" t="s">
        <v>720</v>
      </c>
      <c r="H494" s="71" t="s">
        <v>415</v>
      </c>
      <c r="I494" s="71" t="s">
        <v>376</v>
      </c>
    </row>
    <row r="495" spans="1:9" ht="58" x14ac:dyDescent="0.35">
      <c r="A495">
        <v>2</v>
      </c>
      <c r="B495">
        <v>245</v>
      </c>
      <c r="C495" t="s">
        <v>880</v>
      </c>
      <c r="D495" s="64">
        <f>VLOOKUP(C495,'CHAS - Cook Co'!$C$1:$J$2762,2,FALSE) - VLOOKUP(C495,'CHAS - Chicago'!$C$1:$J$2762,2,FALSE)</f>
        <v>0</v>
      </c>
      <c r="E495" t="s">
        <v>373</v>
      </c>
      <c r="F495" s="71" t="s">
        <v>508</v>
      </c>
      <c r="G495" s="71" t="s">
        <v>720</v>
      </c>
      <c r="H495" s="71" t="s">
        <v>415</v>
      </c>
      <c r="I495" s="71" t="s">
        <v>378</v>
      </c>
    </row>
    <row r="496" spans="1:9" ht="58" x14ac:dyDescent="0.35">
      <c r="A496">
        <v>2</v>
      </c>
      <c r="B496">
        <v>246</v>
      </c>
      <c r="C496" t="s">
        <v>881</v>
      </c>
      <c r="D496" s="64">
        <f>VLOOKUP(C496,'CHAS - Cook Co'!$C$1:$J$2762,2,FALSE) - VLOOKUP(C496,'CHAS - Chicago'!$C$1:$J$2762,2,FALSE)</f>
        <v>0</v>
      </c>
      <c r="E496" t="s">
        <v>373</v>
      </c>
      <c r="F496" s="71" t="s">
        <v>508</v>
      </c>
      <c r="G496" s="71" t="s">
        <v>720</v>
      </c>
      <c r="H496" s="71" t="s">
        <v>415</v>
      </c>
      <c r="I496" s="71" t="s">
        <v>380</v>
      </c>
    </row>
    <row r="497" spans="1:9" ht="58" x14ac:dyDescent="0.35">
      <c r="A497">
        <v>2</v>
      </c>
      <c r="B497">
        <v>247</v>
      </c>
      <c r="C497" t="s">
        <v>882</v>
      </c>
      <c r="D497" s="64">
        <f>VLOOKUP(C497,'CHAS - Cook Co'!$C$1:$J$2762,2,FALSE) - VLOOKUP(C497,'CHAS - Chicago'!$C$1:$J$2762,2,FALSE)</f>
        <v>0</v>
      </c>
      <c r="E497" t="s">
        <v>373</v>
      </c>
      <c r="F497" s="71" t="s">
        <v>508</v>
      </c>
      <c r="G497" s="71" t="s">
        <v>720</v>
      </c>
      <c r="H497" s="71" t="s">
        <v>415</v>
      </c>
      <c r="I497" s="71" t="s">
        <v>382</v>
      </c>
    </row>
    <row r="498" spans="1:9" ht="58" x14ac:dyDescent="0.35">
      <c r="A498">
        <v>2</v>
      </c>
      <c r="B498">
        <v>248</v>
      </c>
      <c r="C498" t="s">
        <v>883</v>
      </c>
      <c r="D498" s="64">
        <f>VLOOKUP(C498,'CHAS - Cook Co'!$C$1:$J$2762,2,FALSE) - VLOOKUP(C498,'CHAS - Chicago'!$C$1:$J$2762,2,FALSE)</f>
        <v>0</v>
      </c>
      <c r="E498" t="s">
        <v>373</v>
      </c>
      <c r="F498" s="71" t="s">
        <v>508</v>
      </c>
      <c r="G498" s="71" t="s">
        <v>720</v>
      </c>
      <c r="H498" s="71" t="s">
        <v>415</v>
      </c>
      <c r="I498" s="71" t="s">
        <v>384</v>
      </c>
    </row>
    <row r="499" spans="1:9" ht="58" x14ac:dyDescent="0.35">
      <c r="A499">
        <v>2</v>
      </c>
      <c r="B499">
        <v>249</v>
      </c>
      <c r="C499" t="s">
        <v>884</v>
      </c>
      <c r="D499" s="64">
        <f>VLOOKUP(C499,'CHAS - Cook Co'!$C$1:$J$2762,2,FALSE) - VLOOKUP(C499,'CHAS - Chicago'!$C$1:$J$2762,2,FALSE)</f>
        <v>0</v>
      </c>
      <c r="E499" t="s">
        <v>373</v>
      </c>
      <c r="F499" s="71" t="s">
        <v>508</v>
      </c>
      <c r="G499" s="71" t="s">
        <v>720</v>
      </c>
      <c r="H499" s="71" t="s">
        <v>415</v>
      </c>
      <c r="I499" s="71" t="s">
        <v>386</v>
      </c>
    </row>
    <row r="500" spans="1:9" ht="29" x14ac:dyDescent="0.35">
      <c r="A500">
        <v>3</v>
      </c>
      <c r="B500">
        <v>1</v>
      </c>
      <c r="C500" t="s">
        <v>885</v>
      </c>
      <c r="D500" s="64">
        <f>VLOOKUP(C500,'CHAS - Cook Co'!$C$1:$J$2762,2,FALSE) - VLOOKUP(C500,'CHAS - Chicago'!$C$1:$J$2762,2,FALSE)</f>
        <v>909025</v>
      </c>
      <c r="E500" t="s">
        <v>26</v>
      </c>
      <c r="F500" s="71" t="s">
        <v>886</v>
      </c>
      <c r="G500" s="71" t="s">
        <v>887</v>
      </c>
      <c r="H500" s="71" t="s">
        <v>363</v>
      </c>
    </row>
    <row r="501" spans="1:9" ht="29" x14ac:dyDescent="0.35">
      <c r="A501">
        <v>3</v>
      </c>
      <c r="B501">
        <v>2</v>
      </c>
      <c r="C501" t="s">
        <v>888</v>
      </c>
      <c r="D501" s="64">
        <f>VLOOKUP(C501,'CHAS - Cook Co'!$C$1:$J$2762,2,FALSE) - VLOOKUP(C501,'CHAS - Chicago'!$C$1:$J$2762,2,FALSE)</f>
        <v>645280</v>
      </c>
      <c r="E501" t="s">
        <v>366</v>
      </c>
      <c r="F501" s="71" t="s">
        <v>367</v>
      </c>
      <c r="G501" s="71" t="s">
        <v>887</v>
      </c>
      <c r="H501" s="71" t="s">
        <v>363</v>
      </c>
    </row>
    <row r="502" spans="1:9" ht="43.5" x14ac:dyDescent="0.35">
      <c r="A502">
        <v>3</v>
      </c>
      <c r="B502">
        <v>3</v>
      </c>
      <c r="C502" t="s">
        <v>889</v>
      </c>
      <c r="D502" s="64">
        <f>VLOOKUP(C502,'CHAS - Cook Co'!$C$1:$J$2762,2,FALSE) - VLOOKUP(C502,'CHAS - Chicago'!$C$1:$J$2762,2,FALSE)</f>
        <v>1640</v>
      </c>
      <c r="E502" t="s">
        <v>366</v>
      </c>
      <c r="F502" s="71" t="s">
        <v>367</v>
      </c>
      <c r="G502" s="71" t="s">
        <v>890</v>
      </c>
      <c r="H502" s="71" t="s">
        <v>363</v>
      </c>
    </row>
    <row r="503" spans="1:9" ht="43.5" x14ac:dyDescent="0.35">
      <c r="A503">
        <v>3</v>
      </c>
      <c r="B503">
        <v>4</v>
      </c>
      <c r="C503" t="s">
        <v>891</v>
      </c>
      <c r="D503" s="64">
        <f>VLOOKUP(C503,'CHAS - Cook Co'!$C$1:$J$2762,2,FALSE) - VLOOKUP(C503,'CHAS - Chicago'!$C$1:$J$2762,2,FALSE)</f>
        <v>345</v>
      </c>
      <c r="E503" t="s">
        <v>373</v>
      </c>
      <c r="F503" s="71" t="s">
        <v>367</v>
      </c>
      <c r="G503" s="71" t="s">
        <v>890</v>
      </c>
      <c r="H503" s="71" t="s">
        <v>371</v>
      </c>
    </row>
    <row r="504" spans="1:9" ht="43.5" x14ac:dyDescent="0.35">
      <c r="A504">
        <v>3</v>
      </c>
      <c r="B504">
        <v>5</v>
      </c>
      <c r="C504" t="s">
        <v>892</v>
      </c>
      <c r="D504" s="64">
        <f>VLOOKUP(C504,'CHAS - Cook Co'!$C$1:$J$2762,2,FALSE) - VLOOKUP(C504,'CHAS - Chicago'!$C$1:$J$2762,2,FALSE)</f>
        <v>270</v>
      </c>
      <c r="E504" t="s">
        <v>373</v>
      </c>
      <c r="F504" s="71" t="s">
        <v>367</v>
      </c>
      <c r="G504" s="71" t="s">
        <v>890</v>
      </c>
      <c r="H504" s="71" t="s">
        <v>388</v>
      </c>
    </row>
    <row r="505" spans="1:9" ht="43.5" x14ac:dyDescent="0.35">
      <c r="A505">
        <v>3</v>
      </c>
      <c r="B505">
        <v>6</v>
      </c>
      <c r="C505" t="s">
        <v>893</v>
      </c>
      <c r="D505" s="64">
        <f>VLOOKUP(C505,'CHAS - Cook Co'!$C$1:$J$2762,2,FALSE) - VLOOKUP(C505,'CHAS - Chicago'!$C$1:$J$2762,2,FALSE)</f>
        <v>335</v>
      </c>
      <c r="E505" t="s">
        <v>373</v>
      </c>
      <c r="F505" s="71" t="s">
        <v>367</v>
      </c>
      <c r="G505" s="71" t="s">
        <v>890</v>
      </c>
      <c r="H505" s="71" t="s">
        <v>397</v>
      </c>
    </row>
    <row r="506" spans="1:9" ht="43.5" x14ac:dyDescent="0.35">
      <c r="A506">
        <v>3</v>
      </c>
      <c r="B506">
        <v>7</v>
      </c>
      <c r="C506" t="s">
        <v>894</v>
      </c>
      <c r="D506" s="64">
        <f>VLOOKUP(C506,'CHAS - Cook Co'!$C$1:$J$2762,2,FALSE) - VLOOKUP(C506,'CHAS - Chicago'!$C$1:$J$2762,2,FALSE)</f>
        <v>265</v>
      </c>
      <c r="E506" t="s">
        <v>373</v>
      </c>
      <c r="F506" s="71" t="s">
        <v>367</v>
      </c>
      <c r="G506" s="71" t="s">
        <v>890</v>
      </c>
      <c r="H506" s="71" t="s">
        <v>406</v>
      </c>
    </row>
    <row r="507" spans="1:9" ht="43.5" x14ac:dyDescent="0.35">
      <c r="A507">
        <v>3</v>
      </c>
      <c r="B507">
        <v>8</v>
      </c>
      <c r="C507" t="s">
        <v>895</v>
      </c>
      <c r="D507" s="64">
        <f>VLOOKUP(C507,'CHAS - Cook Co'!$C$1:$J$2762,2,FALSE) - VLOOKUP(C507,'CHAS - Chicago'!$C$1:$J$2762,2,FALSE)</f>
        <v>430</v>
      </c>
      <c r="E507" t="s">
        <v>373</v>
      </c>
      <c r="F507" s="71" t="s">
        <v>367</v>
      </c>
      <c r="G507" s="71" t="s">
        <v>890</v>
      </c>
      <c r="H507" s="71" t="s">
        <v>415</v>
      </c>
    </row>
    <row r="508" spans="1:9" ht="43.5" x14ac:dyDescent="0.35">
      <c r="A508">
        <v>3</v>
      </c>
      <c r="B508">
        <v>9</v>
      </c>
      <c r="C508" t="s">
        <v>896</v>
      </c>
      <c r="D508" s="64">
        <f>VLOOKUP(C508,'CHAS - Cook Co'!$C$1:$J$2762,2,FALSE) - VLOOKUP(C508,'CHAS - Chicago'!$C$1:$J$2762,2,FALSE)</f>
        <v>2015</v>
      </c>
      <c r="E508" t="s">
        <v>366</v>
      </c>
      <c r="F508" s="71" t="s">
        <v>367</v>
      </c>
      <c r="G508" s="71" t="s">
        <v>897</v>
      </c>
      <c r="H508" s="71" t="s">
        <v>363</v>
      </c>
    </row>
    <row r="509" spans="1:9" ht="43.5" x14ac:dyDescent="0.35">
      <c r="A509">
        <v>3</v>
      </c>
      <c r="B509">
        <v>10</v>
      </c>
      <c r="C509" t="s">
        <v>898</v>
      </c>
      <c r="D509" s="64">
        <f>VLOOKUP(C509,'CHAS - Cook Co'!$C$1:$J$2762,2,FALSE) - VLOOKUP(C509,'CHAS - Chicago'!$C$1:$J$2762,2,FALSE)</f>
        <v>240</v>
      </c>
      <c r="E509" t="s">
        <v>373</v>
      </c>
      <c r="F509" s="71" t="s">
        <v>367</v>
      </c>
      <c r="G509" s="71" t="s">
        <v>897</v>
      </c>
      <c r="H509" s="71" t="s">
        <v>371</v>
      </c>
    </row>
    <row r="510" spans="1:9" ht="43.5" x14ac:dyDescent="0.35">
      <c r="A510">
        <v>3</v>
      </c>
      <c r="B510">
        <v>11</v>
      </c>
      <c r="C510" t="s">
        <v>899</v>
      </c>
      <c r="D510" s="64">
        <f>VLOOKUP(C510,'CHAS - Cook Co'!$C$1:$J$2762,2,FALSE) - VLOOKUP(C510,'CHAS - Chicago'!$C$1:$J$2762,2,FALSE)</f>
        <v>395</v>
      </c>
      <c r="E510" t="s">
        <v>373</v>
      </c>
      <c r="F510" s="71" t="s">
        <v>367</v>
      </c>
      <c r="G510" s="71" t="s">
        <v>897</v>
      </c>
      <c r="H510" s="71" t="s">
        <v>388</v>
      </c>
    </row>
    <row r="511" spans="1:9" ht="43.5" x14ac:dyDescent="0.35">
      <c r="A511">
        <v>3</v>
      </c>
      <c r="B511">
        <v>12</v>
      </c>
      <c r="C511" t="s">
        <v>900</v>
      </c>
      <c r="D511" s="64">
        <f>VLOOKUP(C511,'CHAS - Cook Co'!$C$1:$J$2762,2,FALSE) - VLOOKUP(C511,'CHAS - Chicago'!$C$1:$J$2762,2,FALSE)</f>
        <v>455</v>
      </c>
      <c r="E511" t="s">
        <v>373</v>
      </c>
      <c r="F511" s="71" t="s">
        <v>367</v>
      </c>
      <c r="G511" s="71" t="s">
        <v>897</v>
      </c>
      <c r="H511" s="71" t="s">
        <v>397</v>
      </c>
    </row>
    <row r="512" spans="1:9" ht="43.5" x14ac:dyDescent="0.35">
      <c r="A512">
        <v>3</v>
      </c>
      <c r="B512">
        <v>13</v>
      </c>
      <c r="C512" t="s">
        <v>901</v>
      </c>
      <c r="D512" s="64">
        <f>VLOOKUP(C512,'CHAS - Cook Co'!$C$1:$J$2762,2,FALSE) - VLOOKUP(C512,'CHAS - Chicago'!$C$1:$J$2762,2,FALSE)</f>
        <v>215</v>
      </c>
      <c r="E512" t="s">
        <v>373</v>
      </c>
      <c r="F512" s="71" t="s">
        <v>367</v>
      </c>
      <c r="G512" s="71" t="s">
        <v>897</v>
      </c>
      <c r="H512" s="71" t="s">
        <v>406</v>
      </c>
    </row>
    <row r="513" spans="1:8" ht="43.5" x14ac:dyDescent="0.35">
      <c r="A513">
        <v>3</v>
      </c>
      <c r="B513">
        <v>14</v>
      </c>
      <c r="C513" t="s">
        <v>902</v>
      </c>
      <c r="D513" s="64">
        <f>VLOOKUP(C513,'CHAS - Cook Co'!$C$1:$J$2762,2,FALSE) - VLOOKUP(C513,'CHAS - Chicago'!$C$1:$J$2762,2,FALSE)</f>
        <v>705</v>
      </c>
      <c r="E513" t="s">
        <v>373</v>
      </c>
      <c r="F513" s="71" t="s">
        <v>367</v>
      </c>
      <c r="G513" s="71" t="s">
        <v>897</v>
      </c>
      <c r="H513" s="71" t="s">
        <v>415</v>
      </c>
    </row>
    <row r="514" spans="1:8" ht="58" x14ac:dyDescent="0.35">
      <c r="A514">
        <v>3</v>
      </c>
      <c r="B514">
        <v>15</v>
      </c>
      <c r="C514" t="s">
        <v>903</v>
      </c>
      <c r="D514" s="64">
        <f>VLOOKUP(C514,'CHAS - Cook Co'!$C$1:$J$2762,2,FALSE) - VLOOKUP(C514,'CHAS - Chicago'!$C$1:$J$2762,2,FALSE)</f>
        <v>9530</v>
      </c>
      <c r="E514" t="s">
        <v>366</v>
      </c>
      <c r="F514" s="71" t="s">
        <v>367</v>
      </c>
      <c r="G514" s="71" t="s">
        <v>904</v>
      </c>
      <c r="H514" s="71" t="s">
        <v>363</v>
      </c>
    </row>
    <row r="515" spans="1:8" ht="58" x14ac:dyDescent="0.35">
      <c r="A515">
        <v>3</v>
      </c>
      <c r="B515">
        <v>16</v>
      </c>
      <c r="C515" t="s">
        <v>905</v>
      </c>
      <c r="D515" s="64">
        <f>VLOOKUP(C515,'CHAS - Cook Co'!$C$1:$J$2762,2,FALSE) - VLOOKUP(C515,'CHAS - Chicago'!$C$1:$J$2762,2,FALSE)</f>
        <v>895</v>
      </c>
      <c r="E515" t="s">
        <v>373</v>
      </c>
      <c r="F515" s="71" t="s">
        <v>367</v>
      </c>
      <c r="G515" s="71" t="s">
        <v>904</v>
      </c>
      <c r="H515" s="71" t="s">
        <v>371</v>
      </c>
    </row>
    <row r="516" spans="1:8" ht="58" x14ac:dyDescent="0.35">
      <c r="A516">
        <v>3</v>
      </c>
      <c r="B516">
        <v>17</v>
      </c>
      <c r="C516" t="s">
        <v>906</v>
      </c>
      <c r="D516" s="64">
        <f>VLOOKUP(C516,'CHAS - Cook Co'!$C$1:$J$2762,2,FALSE) - VLOOKUP(C516,'CHAS - Chicago'!$C$1:$J$2762,2,FALSE)</f>
        <v>1815</v>
      </c>
      <c r="E516" t="s">
        <v>373</v>
      </c>
      <c r="F516" s="71" t="s">
        <v>367</v>
      </c>
      <c r="G516" s="71" t="s">
        <v>904</v>
      </c>
      <c r="H516" s="71" t="s">
        <v>388</v>
      </c>
    </row>
    <row r="517" spans="1:8" ht="58" x14ac:dyDescent="0.35">
      <c r="A517">
        <v>3</v>
      </c>
      <c r="B517">
        <v>18</v>
      </c>
      <c r="C517" t="s">
        <v>907</v>
      </c>
      <c r="D517" s="64">
        <f>VLOOKUP(C517,'CHAS - Cook Co'!$C$1:$J$2762,2,FALSE) - VLOOKUP(C517,'CHAS - Chicago'!$C$1:$J$2762,2,FALSE)</f>
        <v>2390</v>
      </c>
      <c r="E517" t="s">
        <v>373</v>
      </c>
      <c r="F517" s="71" t="s">
        <v>367</v>
      </c>
      <c r="G517" s="71" t="s">
        <v>904</v>
      </c>
      <c r="H517" s="71" t="s">
        <v>397</v>
      </c>
    </row>
    <row r="518" spans="1:8" ht="58" x14ac:dyDescent="0.35">
      <c r="A518">
        <v>3</v>
      </c>
      <c r="B518">
        <v>19</v>
      </c>
      <c r="C518" t="s">
        <v>908</v>
      </c>
      <c r="D518" s="64">
        <f>VLOOKUP(C518,'CHAS - Cook Co'!$C$1:$J$2762,2,FALSE) - VLOOKUP(C518,'CHAS - Chicago'!$C$1:$J$2762,2,FALSE)</f>
        <v>1495</v>
      </c>
      <c r="E518" t="s">
        <v>373</v>
      </c>
      <c r="F518" s="71" t="s">
        <v>367</v>
      </c>
      <c r="G518" s="71" t="s">
        <v>904</v>
      </c>
      <c r="H518" s="71" t="s">
        <v>406</v>
      </c>
    </row>
    <row r="519" spans="1:8" ht="58" x14ac:dyDescent="0.35">
      <c r="A519">
        <v>3</v>
      </c>
      <c r="B519">
        <v>20</v>
      </c>
      <c r="C519" t="s">
        <v>909</v>
      </c>
      <c r="D519" s="64">
        <f>VLOOKUP(C519,'CHAS - Cook Co'!$C$1:$J$2762,2,FALSE) - VLOOKUP(C519,'CHAS - Chicago'!$C$1:$J$2762,2,FALSE)</f>
        <v>2935</v>
      </c>
      <c r="E519" t="s">
        <v>373</v>
      </c>
      <c r="F519" s="71" t="s">
        <v>367</v>
      </c>
      <c r="G519" s="71" t="s">
        <v>904</v>
      </c>
      <c r="H519" s="71" t="s">
        <v>415</v>
      </c>
    </row>
    <row r="520" spans="1:8" ht="43.5" x14ac:dyDescent="0.35">
      <c r="A520">
        <v>3</v>
      </c>
      <c r="B520">
        <v>21</v>
      </c>
      <c r="C520" t="s">
        <v>910</v>
      </c>
      <c r="D520" s="64">
        <f>VLOOKUP(C520,'CHAS - Cook Co'!$C$1:$J$2762,2,FALSE) - VLOOKUP(C520,'CHAS - Chicago'!$C$1:$J$2762,2,FALSE)</f>
        <v>82560</v>
      </c>
      <c r="E520" t="s">
        <v>366</v>
      </c>
      <c r="F520" s="71" t="s">
        <v>367</v>
      </c>
      <c r="G520" s="71" t="s">
        <v>911</v>
      </c>
      <c r="H520" s="71" t="s">
        <v>363</v>
      </c>
    </row>
    <row r="521" spans="1:8" ht="43.5" x14ac:dyDescent="0.35">
      <c r="A521">
        <v>3</v>
      </c>
      <c r="B521">
        <v>22</v>
      </c>
      <c r="C521" t="s">
        <v>912</v>
      </c>
      <c r="D521" s="64">
        <f>VLOOKUP(C521,'CHAS - Cook Co'!$C$1:$J$2762,2,FALSE) - VLOOKUP(C521,'CHAS - Chicago'!$C$1:$J$2762,2,FALSE)</f>
        <v>36615</v>
      </c>
      <c r="E521" t="s">
        <v>373</v>
      </c>
      <c r="F521" s="71" t="s">
        <v>367</v>
      </c>
      <c r="G521" s="71" t="s">
        <v>911</v>
      </c>
      <c r="H521" s="71" t="s">
        <v>371</v>
      </c>
    </row>
    <row r="522" spans="1:8" ht="43.5" x14ac:dyDescent="0.35">
      <c r="A522">
        <v>3</v>
      </c>
      <c r="B522">
        <v>23</v>
      </c>
      <c r="C522" t="s">
        <v>913</v>
      </c>
      <c r="D522" s="64">
        <f>VLOOKUP(C522,'CHAS - Cook Co'!$C$1:$J$2762,2,FALSE) - VLOOKUP(C522,'CHAS - Chicago'!$C$1:$J$2762,2,FALSE)</f>
        <v>23455</v>
      </c>
      <c r="E522" t="s">
        <v>373</v>
      </c>
      <c r="F522" s="71" t="s">
        <v>367</v>
      </c>
      <c r="G522" s="71" t="s">
        <v>911</v>
      </c>
      <c r="H522" s="71" t="s">
        <v>388</v>
      </c>
    </row>
    <row r="523" spans="1:8" ht="43.5" x14ac:dyDescent="0.35">
      <c r="A523">
        <v>3</v>
      </c>
      <c r="B523">
        <v>24</v>
      </c>
      <c r="C523" t="s">
        <v>914</v>
      </c>
      <c r="D523" s="64">
        <f>VLOOKUP(C523,'CHAS - Cook Co'!$C$1:$J$2762,2,FALSE) - VLOOKUP(C523,'CHAS - Chicago'!$C$1:$J$2762,2,FALSE)</f>
        <v>14855</v>
      </c>
      <c r="E523" t="s">
        <v>373</v>
      </c>
      <c r="F523" s="71" t="s">
        <v>367</v>
      </c>
      <c r="G523" s="71" t="s">
        <v>911</v>
      </c>
      <c r="H523" s="71" t="s">
        <v>397</v>
      </c>
    </row>
    <row r="524" spans="1:8" ht="43.5" x14ac:dyDescent="0.35">
      <c r="A524">
        <v>3</v>
      </c>
      <c r="B524">
        <v>25</v>
      </c>
      <c r="C524" t="s">
        <v>915</v>
      </c>
      <c r="D524" s="64">
        <f>VLOOKUP(C524,'CHAS - Cook Co'!$C$1:$J$2762,2,FALSE) - VLOOKUP(C524,'CHAS - Chicago'!$C$1:$J$2762,2,FALSE)</f>
        <v>3555</v>
      </c>
      <c r="E524" t="s">
        <v>373</v>
      </c>
      <c r="F524" s="71" t="s">
        <v>367</v>
      </c>
      <c r="G524" s="71" t="s">
        <v>911</v>
      </c>
      <c r="H524" s="71" t="s">
        <v>406</v>
      </c>
    </row>
    <row r="525" spans="1:8" ht="43.5" x14ac:dyDescent="0.35">
      <c r="A525">
        <v>3</v>
      </c>
      <c r="B525">
        <v>26</v>
      </c>
      <c r="C525" t="s">
        <v>916</v>
      </c>
      <c r="D525" s="64">
        <f>VLOOKUP(C525,'CHAS - Cook Co'!$C$1:$J$2762,2,FALSE) - VLOOKUP(C525,'CHAS - Chicago'!$C$1:$J$2762,2,FALSE)</f>
        <v>4070</v>
      </c>
      <c r="E525" t="s">
        <v>373</v>
      </c>
      <c r="F525" s="71" t="s">
        <v>367</v>
      </c>
      <c r="G525" s="71" t="s">
        <v>911</v>
      </c>
      <c r="H525" s="71" t="s">
        <v>415</v>
      </c>
    </row>
    <row r="526" spans="1:8" ht="58" x14ac:dyDescent="0.35">
      <c r="A526">
        <v>3</v>
      </c>
      <c r="B526">
        <v>27</v>
      </c>
      <c r="C526" t="s">
        <v>917</v>
      </c>
      <c r="D526" s="64">
        <f>VLOOKUP(C526,'CHAS - Cook Co'!$C$1:$J$2762,2,FALSE) - VLOOKUP(C526,'CHAS - Chicago'!$C$1:$J$2762,2,FALSE)</f>
        <v>108245</v>
      </c>
      <c r="E526" t="s">
        <v>366</v>
      </c>
      <c r="F526" s="71" t="s">
        <v>367</v>
      </c>
      <c r="G526" s="71" t="s">
        <v>918</v>
      </c>
      <c r="H526" s="71" t="s">
        <v>363</v>
      </c>
    </row>
    <row r="527" spans="1:8" ht="58" x14ac:dyDescent="0.35">
      <c r="A527">
        <v>3</v>
      </c>
      <c r="B527">
        <v>28</v>
      </c>
      <c r="C527" t="s">
        <v>919</v>
      </c>
      <c r="D527" s="64">
        <f>VLOOKUP(C527,'CHAS - Cook Co'!$C$1:$J$2762,2,FALSE) - VLOOKUP(C527,'CHAS - Chicago'!$C$1:$J$2762,2,FALSE)</f>
        <v>7540</v>
      </c>
      <c r="E527" t="s">
        <v>373</v>
      </c>
      <c r="F527" s="71" t="s">
        <v>367</v>
      </c>
      <c r="G527" s="71" t="s">
        <v>918</v>
      </c>
      <c r="H527" s="71" t="s">
        <v>371</v>
      </c>
    </row>
    <row r="528" spans="1:8" ht="58" x14ac:dyDescent="0.35">
      <c r="A528">
        <v>3</v>
      </c>
      <c r="B528">
        <v>29</v>
      </c>
      <c r="C528" t="s">
        <v>920</v>
      </c>
      <c r="D528" s="64">
        <f>VLOOKUP(C528,'CHAS - Cook Co'!$C$1:$J$2762,2,FALSE) - VLOOKUP(C528,'CHAS - Chicago'!$C$1:$J$2762,2,FALSE)</f>
        <v>20905</v>
      </c>
      <c r="E528" t="s">
        <v>373</v>
      </c>
      <c r="F528" s="71" t="s">
        <v>367</v>
      </c>
      <c r="G528" s="71" t="s">
        <v>918</v>
      </c>
      <c r="H528" s="71" t="s">
        <v>388</v>
      </c>
    </row>
    <row r="529" spans="1:8" ht="58" x14ac:dyDescent="0.35">
      <c r="A529">
        <v>3</v>
      </c>
      <c r="B529">
        <v>30</v>
      </c>
      <c r="C529" t="s">
        <v>921</v>
      </c>
      <c r="D529" s="64">
        <f>VLOOKUP(C529,'CHAS - Cook Co'!$C$1:$J$2762,2,FALSE) - VLOOKUP(C529,'CHAS - Chicago'!$C$1:$J$2762,2,FALSE)</f>
        <v>33770</v>
      </c>
      <c r="E529" t="s">
        <v>373</v>
      </c>
      <c r="F529" s="71" t="s">
        <v>367</v>
      </c>
      <c r="G529" s="71" t="s">
        <v>918</v>
      </c>
      <c r="H529" s="71" t="s">
        <v>397</v>
      </c>
    </row>
    <row r="530" spans="1:8" ht="58" x14ac:dyDescent="0.35">
      <c r="A530">
        <v>3</v>
      </c>
      <c r="B530">
        <v>31</v>
      </c>
      <c r="C530" t="s">
        <v>922</v>
      </c>
      <c r="D530" s="64">
        <f>VLOOKUP(C530,'CHAS - Cook Co'!$C$1:$J$2762,2,FALSE) - VLOOKUP(C530,'CHAS - Chicago'!$C$1:$J$2762,2,FALSE)</f>
        <v>17440</v>
      </c>
      <c r="E530" t="s">
        <v>373</v>
      </c>
      <c r="F530" s="71" t="s">
        <v>367</v>
      </c>
      <c r="G530" s="71" t="s">
        <v>918</v>
      </c>
      <c r="H530" s="71" t="s">
        <v>406</v>
      </c>
    </row>
    <row r="531" spans="1:8" ht="58" x14ac:dyDescent="0.35">
      <c r="A531">
        <v>3</v>
      </c>
      <c r="B531">
        <v>32</v>
      </c>
      <c r="C531" t="s">
        <v>923</v>
      </c>
      <c r="D531" s="64">
        <f>VLOOKUP(C531,'CHAS - Cook Co'!$C$1:$J$2762,2,FALSE) - VLOOKUP(C531,'CHAS - Chicago'!$C$1:$J$2762,2,FALSE)</f>
        <v>28600</v>
      </c>
      <c r="E531" t="s">
        <v>373</v>
      </c>
      <c r="F531" s="71" t="s">
        <v>367</v>
      </c>
      <c r="G531" s="71" t="s">
        <v>918</v>
      </c>
      <c r="H531" s="71" t="s">
        <v>415</v>
      </c>
    </row>
    <row r="532" spans="1:8" ht="43.5" x14ac:dyDescent="0.35">
      <c r="A532">
        <v>3</v>
      </c>
      <c r="B532">
        <v>33</v>
      </c>
      <c r="C532" t="s">
        <v>924</v>
      </c>
      <c r="D532" s="64">
        <f>VLOOKUP(C532,'CHAS - Cook Co'!$C$1:$J$2762,2,FALSE) - VLOOKUP(C532,'CHAS - Chicago'!$C$1:$J$2762,2,FALSE)</f>
        <v>5515</v>
      </c>
      <c r="E532" t="s">
        <v>366</v>
      </c>
      <c r="F532" s="71" t="s">
        <v>367</v>
      </c>
      <c r="G532" s="71" t="s">
        <v>925</v>
      </c>
      <c r="H532" s="71" t="s">
        <v>363</v>
      </c>
    </row>
    <row r="533" spans="1:8" ht="43.5" x14ac:dyDescent="0.35">
      <c r="A533">
        <v>3</v>
      </c>
      <c r="B533">
        <v>34</v>
      </c>
      <c r="C533" t="s">
        <v>926</v>
      </c>
      <c r="D533" s="64">
        <f>VLOOKUP(C533,'CHAS - Cook Co'!$C$1:$J$2762,2,FALSE) - VLOOKUP(C533,'CHAS - Chicago'!$C$1:$J$2762,2,FALSE)</f>
        <v>5515</v>
      </c>
      <c r="E533" t="s">
        <v>373</v>
      </c>
      <c r="F533" s="71" t="s">
        <v>367</v>
      </c>
      <c r="G533" s="71" t="s">
        <v>925</v>
      </c>
      <c r="H533" s="71" t="s">
        <v>371</v>
      </c>
    </row>
    <row r="534" spans="1:8" ht="43.5" x14ac:dyDescent="0.35">
      <c r="A534">
        <v>3</v>
      </c>
      <c r="B534">
        <v>35</v>
      </c>
      <c r="C534" t="s">
        <v>927</v>
      </c>
      <c r="D534" s="64">
        <f>VLOOKUP(C534,'CHAS - Cook Co'!$C$1:$J$2762,2,FALSE) - VLOOKUP(C534,'CHAS - Chicago'!$C$1:$J$2762,2,FALSE)</f>
        <v>0</v>
      </c>
      <c r="E534" t="s">
        <v>373</v>
      </c>
      <c r="F534" s="71" t="s">
        <v>367</v>
      </c>
      <c r="G534" s="71" t="s">
        <v>925</v>
      </c>
      <c r="H534" s="71" t="s">
        <v>388</v>
      </c>
    </row>
    <row r="535" spans="1:8" ht="43.5" x14ac:dyDescent="0.35">
      <c r="A535">
        <v>3</v>
      </c>
      <c r="B535">
        <v>36</v>
      </c>
      <c r="C535" t="s">
        <v>928</v>
      </c>
      <c r="D535" s="64">
        <f>VLOOKUP(C535,'CHAS - Cook Co'!$C$1:$J$2762,2,FALSE) - VLOOKUP(C535,'CHAS - Chicago'!$C$1:$J$2762,2,FALSE)</f>
        <v>0</v>
      </c>
      <c r="E535" t="s">
        <v>373</v>
      </c>
      <c r="F535" s="71" t="s">
        <v>367</v>
      </c>
      <c r="G535" s="71" t="s">
        <v>925</v>
      </c>
      <c r="H535" s="71" t="s">
        <v>397</v>
      </c>
    </row>
    <row r="536" spans="1:8" ht="43.5" x14ac:dyDescent="0.35">
      <c r="A536">
        <v>3</v>
      </c>
      <c r="B536">
        <v>37</v>
      </c>
      <c r="C536" t="s">
        <v>929</v>
      </c>
      <c r="D536" s="64">
        <f>VLOOKUP(C536,'CHAS - Cook Co'!$C$1:$J$2762,2,FALSE) - VLOOKUP(C536,'CHAS - Chicago'!$C$1:$J$2762,2,FALSE)</f>
        <v>0</v>
      </c>
      <c r="E536" t="s">
        <v>373</v>
      </c>
      <c r="F536" s="71" t="s">
        <v>367</v>
      </c>
      <c r="G536" s="71" t="s">
        <v>925</v>
      </c>
      <c r="H536" s="71" t="s">
        <v>406</v>
      </c>
    </row>
    <row r="537" spans="1:8" ht="43.5" x14ac:dyDescent="0.35">
      <c r="A537">
        <v>3</v>
      </c>
      <c r="B537">
        <v>38</v>
      </c>
      <c r="C537" t="s">
        <v>930</v>
      </c>
      <c r="D537" s="64">
        <f>VLOOKUP(C537,'CHAS - Cook Co'!$C$1:$J$2762,2,FALSE) - VLOOKUP(C537,'CHAS - Chicago'!$C$1:$J$2762,2,FALSE)</f>
        <v>0</v>
      </c>
      <c r="E537" t="s">
        <v>373</v>
      </c>
      <c r="F537" s="71" t="s">
        <v>367</v>
      </c>
      <c r="G537" s="71" t="s">
        <v>925</v>
      </c>
      <c r="H537" s="71" t="s">
        <v>415</v>
      </c>
    </row>
    <row r="538" spans="1:8" ht="43.5" x14ac:dyDescent="0.35">
      <c r="A538">
        <v>3</v>
      </c>
      <c r="B538">
        <v>39</v>
      </c>
      <c r="C538" t="s">
        <v>931</v>
      </c>
      <c r="D538" s="64">
        <f>VLOOKUP(C538,'CHAS - Cook Co'!$C$1:$J$2762,2,FALSE) - VLOOKUP(C538,'CHAS - Chicago'!$C$1:$J$2762,2,FALSE)</f>
        <v>435775</v>
      </c>
      <c r="E538" t="s">
        <v>366</v>
      </c>
      <c r="F538" s="71" t="s">
        <v>367</v>
      </c>
      <c r="G538" s="71" t="s">
        <v>932</v>
      </c>
      <c r="H538" s="71" t="s">
        <v>363</v>
      </c>
    </row>
    <row r="539" spans="1:8" ht="43.5" x14ac:dyDescent="0.35">
      <c r="A539">
        <v>3</v>
      </c>
      <c r="B539">
        <v>40</v>
      </c>
      <c r="C539" t="s">
        <v>933</v>
      </c>
      <c r="D539" s="64">
        <f>VLOOKUP(C539,'CHAS - Cook Co'!$C$1:$J$2762,2,FALSE) - VLOOKUP(C539,'CHAS - Chicago'!$C$1:$J$2762,2,FALSE)</f>
        <v>4085</v>
      </c>
      <c r="E539" t="s">
        <v>373</v>
      </c>
      <c r="F539" s="71" t="s">
        <v>367</v>
      </c>
      <c r="G539" s="71" t="s">
        <v>932</v>
      </c>
      <c r="H539" s="71" t="s">
        <v>371</v>
      </c>
    </row>
    <row r="540" spans="1:8" ht="43.5" x14ac:dyDescent="0.35">
      <c r="A540">
        <v>3</v>
      </c>
      <c r="B540">
        <v>41</v>
      </c>
      <c r="C540" t="s">
        <v>934</v>
      </c>
      <c r="D540" s="64">
        <f>VLOOKUP(C540,'CHAS - Cook Co'!$C$1:$J$2762,2,FALSE) - VLOOKUP(C540,'CHAS - Chicago'!$C$1:$J$2762,2,FALSE)</f>
        <v>19490</v>
      </c>
      <c r="E540" t="s">
        <v>373</v>
      </c>
      <c r="F540" s="71" t="s">
        <v>367</v>
      </c>
      <c r="G540" s="71" t="s">
        <v>932</v>
      </c>
      <c r="H540" s="71" t="s">
        <v>388</v>
      </c>
    </row>
    <row r="541" spans="1:8" ht="43.5" x14ac:dyDescent="0.35">
      <c r="A541">
        <v>3</v>
      </c>
      <c r="B541">
        <v>42</v>
      </c>
      <c r="C541" t="s">
        <v>935</v>
      </c>
      <c r="D541" s="64">
        <f>VLOOKUP(C541,'CHAS - Cook Co'!$C$1:$J$2762,2,FALSE) - VLOOKUP(C541,'CHAS - Chicago'!$C$1:$J$2762,2,FALSE)</f>
        <v>51085</v>
      </c>
      <c r="E541" t="s">
        <v>373</v>
      </c>
      <c r="F541" s="71" t="s">
        <v>367</v>
      </c>
      <c r="G541" s="71" t="s">
        <v>932</v>
      </c>
      <c r="H541" s="71" t="s">
        <v>397</v>
      </c>
    </row>
    <row r="542" spans="1:8" ht="43.5" x14ac:dyDescent="0.35">
      <c r="A542">
        <v>3</v>
      </c>
      <c r="B542">
        <v>43</v>
      </c>
      <c r="C542" t="s">
        <v>936</v>
      </c>
      <c r="D542" s="64">
        <f>VLOOKUP(C542,'CHAS - Cook Co'!$C$1:$J$2762,2,FALSE) - VLOOKUP(C542,'CHAS - Chicago'!$C$1:$J$2762,2,FALSE)</f>
        <v>46245</v>
      </c>
      <c r="E542" t="s">
        <v>373</v>
      </c>
      <c r="F542" s="71" t="s">
        <v>367</v>
      </c>
      <c r="G542" s="71" t="s">
        <v>932</v>
      </c>
      <c r="H542" s="71" t="s">
        <v>406</v>
      </c>
    </row>
    <row r="543" spans="1:8" ht="43.5" x14ac:dyDescent="0.35">
      <c r="A543">
        <v>3</v>
      </c>
      <c r="B543">
        <v>44</v>
      </c>
      <c r="C543" t="s">
        <v>937</v>
      </c>
      <c r="D543" s="64">
        <f>VLOOKUP(C543,'CHAS - Cook Co'!$C$1:$J$2762,2,FALSE) - VLOOKUP(C543,'CHAS - Chicago'!$C$1:$J$2762,2,FALSE)</f>
        <v>314870</v>
      </c>
      <c r="E543" t="s">
        <v>373</v>
      </c>
      <c r="F543" s="71" t="s">
        <v>367</v>
      </c>
      <c r="G543" s="71" t="s">
        <v>932</v>
      </c>
      <c r="H543" s="71" t="s">
        <v>415</v>
      </c>
    </row>
    <row r="544" spans="1:8" ht="29" x14ac:dyDescent="0.35">
      <c r="A544">
        <v>3</v>
      </c>
      <c r="B544">
        <v>45</v>
      </c>
      <c r="C544" t="s">
        <v>938</v>
      </c>
      <c r="D544" s="64">
        <f>VLOOKUP(C544,'CHAS - Cook Co'!$C$1:$J$2762,2,FALSE) - VLOOKUP(C544,'CHAS - Chicago'!$C$1:$J$2762,2,FALSE)</f>
        <v>263750</v>
      </c>
      <c r="E544" t="s">
        <v>366</v>
      </c>
      <c r="F544" s="71" t="s">
        <v>508</v>
      </c>
      <c r="G544" s="71" t="s">
        <v>887</v>
      </c>
      <c r="H544" s="71" t="s">
        <v>363</v>
      </c>
    </row>
    <row r="545" spans="1:8" ht="43.5" x14ac:dyDescent="0.35">
      <c r="A545">
        <v>3</v>
      </c>
      <c r="B545">
        <v>46</v>
      </c>
      <c r="C545" t="s">
        <v>939</v>
      </c>
      <c r="D545" s="64">
        <f>VLOOKUP(C545,'CHAS - Cook Co'!$C$1:$J$2762,2,FALSE) - VLOOKUP(C545,'CHAS - Chicago'!$C$1:$J$2762,2,FALSE)</f>
        <v>3875</v>
      </c>
      <c r="E545" t="s">
        <v>366</v>
      </c>
      <c r="F545" s="71" t="s">
        <v>508</v>
      </c>
      <c r="G545" s="71" t="s">
        <v>890</v>
      </c>
      <c r="H545" s="71" t="s">
        <v>363</v>
      </c>
    </row>
    <row r="546" spans="1:8" ht="43.5" x14ac:dyDescent="0.35">
      <c r="A546">
        <v>3</v>
      </c>
      <c r="B546">
        <v>47</v>
      </c>
      <c r="C546" t="s">
        <v>940</v>
      </c>
      <c r="D546" s="64">
        <f>VLOOKUP(C546,'CHAS - Cook Co'!$C$1:$J$2762,2,FALSE) - VLOOKUP(C546,'CHAS - Chicago'!$C$1:$J$2762,2,FALSE)</f>
        <v>1730</v>
      </c>
      <c r="E546" t="s">
        <v>373</v>
      </c>
      <c r="F546" s="71" t="s">
        <v>508</v>
      </c>
      <c r="G546" s="71" t="s">
        <v>890</v>
      </c>
      <c r="H546" s="71" t="s">
        <v>371</v>
      </c>
    </row>
    <row r="547" spans="1:8" ht="43.5" x14ac:dyDescent="0.35">
      <c r="A547">
        <v>3</v>
      </c>
      <c r="B547">
        <v>48</v>
      </c>
      <c r="C547" t="s">
        <v>941</v>
      </c>
      <c r="D547" s="64">
        <f>VLOOKUP(C547,'CHAS - Cook Co'!$C$1:$J$2762,2,FALSE) - VLOOKUP(C547,'CHAS - Chicago'!$C$1:$J$2762,2,FALSE)</f>
        <v>755</v>
      </c>
      <c r="E547" t="s">
        <v>373</v>
      </c>
      <c r="F547" s="71" t="s">
        <v>508</v>
      </c>
      <c r="G547" s="71" t="s">
        <v>890</v>
      </c>
      <c r="H547" s="71" t="s">
        <v>388</v>
      </c>
    </row>
    <row r="548" spans="1:8" ht="43.5" x14ac:dyDescent="0.35">
      <c r="A548">
        <v>3</v>
      </c>
      <c r="B548">
        <v>49</v>
      </c>
      <c r="C548" t="s">
        <v>942</v>
      </c>
      <c r="D548" s="64">
        <f>VLOOKUP(C548,'CHAS - Cook Co'!$C$1:$J$2762,2,FALSE) - VLOOKUP(C548,'CHAS - Chicago'!$C$1:$J$2762,2,FALSE)</f>
        <v>520</v>
      </c>
      <c r="E548" t="s">
        <v>373</v>
      </c>
      <c r="F548" s="71" t="s">
        <v>508</v>
      </c>
      <c r="G548" s="71" t="s">
        <v>890</v>
      </c>
      <c r="H548" s="71" t="s">
        <v>397</v>
      </c>
    </row>
    <row r="549" spans="1:8" ht="43.5" x14ac:dyDescent="0.35">
      <c r="A549">
        <v>3</v>
      </c>
      <c r="B549">
        <v>50</v>
      </c>
      <c r="C549" t="s">
        <v>943</v>
      </c>
      <c r="D549" s="64">
        <f>VLOOKUP(C549,'CHAS - Cook Co'!$C$1:$J$2762,2,FALSE) - VLOOKUP(C549,'CHAS - Chicago'!$C$1:$J$2762,2,FALSE)</f>
        <v>245</v>
      </c>
      <c r="E549" t="s">
        <v>373</v>
      </c>
      <c r="F549" s="71" t="s">
        <v>508</v>
      </c>
      <c r="G549" s="71" t="s">
        <v>890</v>
      </c>
      <c r="H549" s="71" t="s">
        <v>406</v>
      </c>
    </row>
    <row r="550" spans="1:8" ht="43.5" x14ac:dyDescent="0.35">
      <c r="A550">
        <v>3</v>
      </c>
      <c r="B550">
        <v>51</v>
      </c>
      <c r="C550" t="s">
        <v>944</v>
      </c>
      <c r="D550" s="64">
        <f>VLOOKUP(C550,'CHAS - Cook Co'!$C$1:$J$2762,2,FALSE) - VLOOKUP(C550,'CHAS - Chicago'!$C$1:$J$2762,2,FALSE)</f>
        <v>630</v>
      </c>
      <c r="E550" t="s">
        <v>373</v>
      </c>
      <c r="F550" s="71" t="s">
        <v>508</v>
      </c>
      <c r="G550" s="71" t="s">
        <v>890</v>
      </c>
      <c r="H550" s="71" t="s">
        <v>415</v>
      </c>
    </row>
    <row r="551" spans="1:8" ht="43.5" x14ac:dyDescent="0.35">
      <c r="A551">
        <v>3</v>
      </c>
      <c r="B551">
        <v>52</v>
      </c>
      <c r="C551" t="s">
        <v>945</v>
      </c>
      <c r="D551" s="64">
        <f>VLOOKUP(C551,'CHAS - Cook Co'!$C$1:$J$2762,2,FALSE) - VLOOKUP(C551,'CHAS - Chicago'!$C$1:$J$2762,2,FALSE)</f>
        <v>3610</v>
      </c>
      <c r="E551" t="s">
        <v>366</v>
      </c>
      <c r="F551" s="71" t="s">
        <v>508</v>
      </c>
      <c r="G551" s="71" t="s">
        <v>897</v>
      </c>
      <c r="H551" s="71" t="s">
        <v>363</v>
      </c>
    </row>
    <row r="552" spans="1:8" ht="43.5" x14ac:dyDescent="0.35">
      <c r="A552">
        <v>3</v>
      </c>
      <c r="B552">
        <v>53</v>
      </c>
      <c r="C552" t="s">
        <v>946</v>
      </c>
      <c r="D552" s="64">
        <f>VLOOKUP(C552,'CHAS - Cook Co'!$C$1:$J$2762,2,FALSE) - VLOOKUP(C552,'CHAS - Chicago'!$C$1:$J$2762,2,FALSE)</f>
        <v>1150</v>
      </c>
      <c r="E552" t="s">
        <v>373</v>
      </c>
      <c r="F552" s="71" t="s">
        <v>508</v>
      </c>
      <c r="G552" s="71" t="s">
        <v>897</v>
      </c>
      <c r="H552" s="71" t="s">
        <v>371</v>
      </c>
    </row>
    <row r="553" spans="1:8" ht="43.5" x14ac:dyDescent="0.35">
      <c r="A553">
        <v>3</v>
      </c>
      <c r="B553">
        <v>54</v>
      </c>
      <c r="C553" t="s">
        <v>947</v>
      </c>
      <c r="D553" s="64">
        <f>VLOOKUP(C553,'CHAS - Cook Co'!$C$1:$J$2762,2,FALSE) - VLOOKUP(C553,'CHAS - Chicago'!$C$1:$J$2762,2,FALSE)</f>
        <v>955</v>
      </c>
      <c r="E553" t="s">
        <v>373</v>
      </c>
      <c r="F553" s="71" t="s">
        <v>508</v>
      </c>
      <c r="G553" s="71" t="s">
        <v>897</v>
      </c>
      <c r="H553" s="71" t="s">
        <v>388</v>
      </c>
    </row>
    <row r="554" spans="1:8" ht="43.5" x14ac:dyDescent="0.35">
      <c r="A554">
        <v>3</v>
      </c>
      <c r="B554">
        <v>55</v>
      </c>
      <c r="C554" t="s">
        <v>948</v>
      </c>
      <c r="D554" s="64">
        <f>VLOOKUP(C554,'CHAS - Cook Co'!$C$1:$J$2762,2,FALSE) - VLOOKUP(C554,'CHAS - Chicago'!$C$1:$J$2762,2,FALSE)</f>
        <v>790</v>
      </c>
      <c r="E554" t="s">
        <v>373</v>
      </c>
      <c r="F554" s="71" t="s">
        <v>508</v>
      </c>
      <c r="G554" s="71" t="s">
        <v>897</v>
      </c>
      <c r="H554" s="71" t="s">
        <v>397</v>
      </c>
    </row>
    <row r="555" spans="1:8" ht="43.5" x14ac:dyDescent="0.35">
      <c r="A555">
        <v>3</v>
      </c>
      <c r="B555">
        <v>56</v>
      </c>
      <c r="C555" t="s">
        <v>949</v>
      </c>
      <c r="D555" s="64">
        <f>VLOOKUP(C555,'CHAS - Cook Co'!$C$1:$J$2762,2,FALSE) - VLOOKUP(C555,'CHAS - Chicago'!$C$1:$J$2762,2,FALSE)</f>
        <v>230</v>
      </c>
      <c r="E555" t="s">
        <v>373</v>
      </c>
      <c r="F555" s="71" t="s">
        <v>508</v>
      </c>
      <c r="G555" s="71" t="s">
        <v>897</v>
      </c>
      <c r="H555" s="71" t="s">
        <v>406</v>
      </c>
    </row>
    <row r="556" spans="1:8" ht="43.5" x14ac:dyDescent="0.35">
      <c r="A556">
        <v>3</v>
      </c>
      <c r="B556">
        <v>57</v>
      </c>
      <c r="C556" t="s">
        <v>950</v>
      </c>
      <c r="D556" s="64">
        <f>VLOOKUP(C556,'CHAS - Cook Co'!$C$1:$J$2762,2,FALSE) - VLOOKUP(C556,'CHAS - Chicago'!$C$1:$J$2762,2,FALSE)</f>
        <v>480</v>
      </c>
      <c r="E556" t="s">
        <v>373</v>
      </c>
      <c r="F556" s="71" t="s">
        <v>508</v>
      </c>
      <c r="G556" s="71" t="s">
        <v>897</v>
      </c>
      <c r="H556" s="71" t="s">
        <v>415</v>
      </c>
    </row>
    <row r="557" spans="1:8" ht="58" x14ac:dyDescent="0.35">
      <c r="A557">
        <v>3</v>
      </c>
      <c r="B557">
        <v>58</v>
      </c>
      <c r="C557" t="s">
        <v>951</v>
      </c>
      <c r="D557" s="64">
        <f>VLOOKUP(C557,'CHAS - Cook Co'!$C$1:$J$2762,2,FALSE) - VLOOKUP(C557,'CHAS - Chicago'!$C$1:$J$2762,2,FALSE)</f>
        <v>12225</v>
      </c>
      <c r="E557" t="s">
        <v>366</v>
      </c>
      <c r="F557" s="71" t="s">
        <v>508</v>
      </c>
      <c r="G557" s="71" t="s">
        <v>904</v>
      </c>
      <c r="H557" s="71" t="s">
        <v>363</v>
      </c>
    </row>
    <row r="558" spans="1:8" ht="58" x14ac:dyDescent="0.35">
      <c r="A558">
        <v>3</v>
      </c>
      <c r="B558">
        <v>59</v>
      </c>
      <c r="C558" t="s">
        <v>952</v>
      </c>
      <c r="D558" s="64">
        <f>VLOOKUP(C558,'CHAS - Cook Co'!$C$1:$J$2762,2,FALSE) - VLOOKUP(C558,'CHAS - Chicago'!$C$1:$J$2762,2,FALSE)</f>
        <v>3820</v>
      </c>
      <c r="E558" t="s">
        <v>373</v>
      </c>
      <c r="F558" s="71" t="s">
        <v>508</v>
      </c>
      <c r="G558" s="71" t="s">
        <v>904</v>
      </c>
      <c r="H558" s="71" t="s">
        <v>371</v>
      </c>
    </row>
    <row r="559" spans="1:8" ht="58" x14ac:dyDescent="0.35">
      <c r="A559">
        <v>3</v>
      </c>
      <c r="B559">
        <v>60</v>
      </c>
      <c r="C559" t="s">
        <v>953</v>
      </c>
      <c r="D559" s="64">
        <f>VLOOKUP(C559,'CHAS - Cook Co'!$C$1:$J$2762,2,FALSE) - VLOOKUP(C559,'CHAS - Chicago'!$C$1:$J$2762,2,FALSE)</f>
        <v>3510</v>
      </c>
      <c r="E559" t="s">
        <v>373</v>
      </c>
      <c r="F559" s="71" t="s">
        <v>508</v>
      </c>
      <c r="G559" s="71" t="s">
        <v>904</v>
      </c>
      <c r="H559" s="71" t="s">
        <v>388</v>
      </c>
    </row>
    <row r="560" spans="1:8" ht="58" x14ac:dyDescent="0.35">
      <c r="A560">
        <v>3</v>
      </c>
      <c r="B560">
        <v>61</v>
      </c>
      <c r="C560" t="s">
        <v>954</v>
      </c>
      <c r="D560" s="64">
        <f>VLOOKUP(C560,'CHAS - Cook Co'!$C$1:$J$2762,2,FALSE) - VLOOKUP(C560,'CHAS - Chicago'!$C$1:$J$2762,2,FALSE)</f>
        <v>2585</v>
      </c>
      <c r="E560" t="s">
        <v>373</v>
      </c>
      <c r="F560" s="71" t="s">
        <v>508</v>
      </c>
      <c r="G560" s="71" t="s">
        <v>904</v>
      </c>
      <c r="H560" s="71" t="s">
        <v>397</v>
      </c>
    </row>
    <row r="561" spans="1:8" ht="58" x14ac:dyDescent="0.35">
      <c r="A561">
        <v>3</v>
      </c>
      <c r="B561">
        <v>62</v>
      </c>
      <c r="C561" t="s">
        <v>955</v>
      </c>
      <c r="D561" s="64">
        <f>VLOOKUP(C561,'CHAS - Cook Co'!$C$1:$J$2762,2,FALSE) - VLOOKUP(C561,'CHAS - Chicago'!$C$1:$J$2762,2,FALSE)</f>
        <v>905</v>
      </c>
      <c r="E561" t="s">
        <v>373</v>
      </c>
      <c r="F561" s="71" t="s">
        <v>508</v>
      </c>
      <c r="G561" s="71" t="s">
        <v>904</v>
      </c>
      <c r="H561" s="71" t="s">
        <v>406</v>
      </c>
    </row>
    <row r="562" spans="1:8" ht="58" x14ac:dyDescent="0.35">
      <c r="A562">
        <v>3</v>
      </c>
      <c r="B562">
        <v>63</v>
      </c>
      <c r="C562" t="s">
        <v>956</v>
      </c>
      <c r="D562" s="64">
        <f>VLOOKUP(C562,'CHAS - Cook Co'!$C$1:$J$2762,2,FALSE) - VLOOKUP(C562,'CHAS - Chicago'!$C$1:$J$2762,2,FALSE)</f>
        <v>1405</v>
      </c>
      <c r="E562" t="s">
        <v>373</v>
      </c>
      <c r="F562" s="71" t="s">
        <v>508</v>
      </c>
      <c r="G562" s="71" t="s">
        <v>904</v>
      </c>
      <c r="H562" s="71" t="s">
        <v>415</v>
      </c>
    </row>
    <row r="563" spans="1:8" ht="43.5" x14ac:dyDescent="0.35">
      <c r="A563">
        <v>3</v>
      </c>
      <c r="B563">
        <v>64</v>
      </c>
      <c r="C563" t="s">
        <v>957</v>
      </c>
      <c r="D563" s="64">
        <f>VLOOKUP(C563,'CHAS - Cook Co'!$C$1:$J$2762,2,FALSE) - VLOOKUP(C563,'CHAS - Chicago'!$C$1:$J$2762,2,FALSE)</f>
        <v>60240</v>
      </c>
      <c r="E563" t="s">
        <v>366</v>
      </c>
      <c r="F563" s="71" t="s">
        <v>508</v>
      </c>
      <c r="G563" s="71" t="s">
        <v>911</v>
      </c>
      <c r="H563" s="71" t="s">
        <v>363</v>
      </c>
    </row>
    <row r="564" spans="1:8" ht="43.5" x14ac:dyDescent="0.35">
      <c r="A564">
        <v>3</v>
      </c>
      <c r="B564">
        <v>65</v>
      </c>
      <c r="C564" t="s">
        <v>958</v>
      </c>
      <c r="D564" s="64">
        <f>VLOOKUP(C564,'CHAS - Cook Co'!$C$1:$J$2762,2,FALSE) - VLOOKUP(C564,'CHAS - Chicago'!$C$1:$J$2762,2,FALSE)</f>
        <v>43975</v>
      </c>
      <c r="E564" t="s">
        <v>373</v>
      </c>
      <c r="F564" s="71" t="s">
        <v>508</v>
      </c>
      <c r="G564" s="71" t="s">
        <v>911</v>
      </c>
      <c r="H564" s="71" t="s">
        <v>371</v>
      </c>
    </row>
    <row r="565" spans="1:8" ht="43.5" x14ac:dyDescent="0.35">
      <c r="A565">
        <v>3</v>
      </c>
      <c r="B565">
        <v>66</v>
      </c>
      <c r="C565" t="s">
        <v>959</v>
      </c>
      <c r="D565" s="64">
        <f>VLOOKUP(C565,'CHAS - Cook Co'!$C$1:$J$2762,2,FALSE) - VLOOKUP(C565,'CHAS - Chicago'!$C$1:$J$2762,2,FALSE)</f>
        <v>13560</v>
      </c>
      <c r="E565" t="s">
        <v>373</v>
      </c>
      <c r="F565" s="71" t="s">
        <v>508</v>
      </c>
      <c r="G565" s="71" t="s">
        <v>911</v>
      </c>
      <c r="H565" s="71" t="s">
        <v>388</v>
      </c>
    </row>
    <row r="566" spans="1:8" ht="43.5" x14ac:dyDescent="0.35">
      <c r="A566">
        <v>3</v>
      </c>
      <c r="B566">
        <v>67</v>
      </c>
      <c r="C566" t="s">
        <v>960</v>
      </c>
      <c r="D566" s="64">
        <f>VLOOKUP(C566,'CHAS - Cook Co'!$C$1:$J$2762,2,FALSE) - VLOOKUP(C566,'CHAS - Chicago'!$C$1:$J$2762,2,FALSE)</f>
        <v>2170</v>
      </c>
      <c r="E566" t="s">
        <v>373</v>
      </c>
      <c r="F566" s="71" t="s">
        <v>508</v>
      </c>
      <c r="G566" s="71" t="s">
        <v>911</v>
      </c>
      <c r="H566" s="71" t="s">
        <v>397</v>
      </c>
    </row>
    <row r="567" spans="1:8" ht="43.5" x14ac:dyDescent="0.35">
      <c r="A567">
        <v>3</v>
      </c>
      <c r="B567">
        <v>68</v>
      </c>
      <c r="C567" t="s">
        <v>961</v>
      </c>
      <c r="D567" s="64">
        <f>VLOOKUP(C567,'CHAS - Cook Co'!$C$1:$J$2762,2,FALSE) - VLOOKUP(C567,'CHAS - Chicago'!$C$1:$J$2762,2,FALSE)</f>
        <v>275</v>
      </c>
      <c r="E567" t="s">
        <v>373</v>
      </c>
      <c r="F567" s="71" t="s">
        <v>508</v>
      </c>
      <c r="G567" s="71" t="s">
        <v>911</v>
      </c>
      <c r="H567" s="71" t="s">
        <v>406</v>
      </c>
    </row>
    <row r="568" spans="1:8" ht="43.5" x14ac:dyDescent="0.35">
      <c r="A568">
        <v>3</v>
      </c>
      <c r="B568">
        <v>69</v>
      </c>
      <c r="C568" t="s">
        <v>962</v>
      </c>
      <c r="D568" s="64">
        <f>VLOOKUP(C568,'CHAS - Cook Co'!$C$1:$J$2762,2,FALSE) - VLOOKUP(C568,'CHAS - Chicago'!$C$1:$J$2762,2,FALSE)</f>
        <v>265</v>
      </c>
      <c r="E568" t="s">
        <v>373</v>
      </c>
      <c r="F568" s="71" t="s">
        <v>508</v>
      </c>
      <c r="G568" s="71" t="s">
        <v>911</v>
      </c>
      <c r="H568" s="71" t="s">
        <v>415</v>
      </c>
    </row>
    <row r="569" spans="1:8" ht="58" x14ac:dyDescent="0.35">
      <c r="A569">
        <v>3</v>
      </c>
      <c r="B569">
        <v>70</v>
      </c>
      <c r="C569" t="s">
        <v>963</v>
      </c>
      <c r="D569" s="64">
        <f>VLOOKUP(C569,'CHAS - Cook Co'!$C$1:$J$2762,2,FALSE) - VLOOKUP(C569,'CHAS - Chicago'!$C$1:$J$2762,2,FALSE)</f>
        <v>50570</v>
      </c>
      <c r="E569" t="s">
        <v>366</v>
      </c>
      <c r="F569" s="71" t="s">
        <v>508</v>
      </c>
      <c r="G569" s="71" t="s">
        <v>918</v>
      </c>
      <c r="H569" s="71" t="s">
        <v>363</v>
      </c>
    </row>
    <row r="570" spans="1:8" ht="58" x14ac:dyDescent="0.35">
      <c r="A570">
        <v>3</v>
      </c>
      <c r="B570">
        <v>71</v>
      </c>
      <c r="C570" t="s">
        <v>964</v>
      </c>
      <c r="D570" s="64">
        <f>VLOOKUP(C570,'CHAS - Cook Co'!$C$1:$J$2762,2,FALSE) - VLOOKUP(C570,'CHAS - Chicago'!$C$1:$J$2762,2,FALSE)</f>
        <v>5720</v>
      </c>
      <c r="E570" t="s">
        <v>373</v>
      </c>
      <c r="F570" s="71" t="s">
        <v>508</v>
      </c>
      <c r="G570" s="71" t="s">
        <v>918</v>
      </c>
      <c r="H570" s="71" t="s">
        <v>371</v>
      </c>
    </row>
    <row r="571" spans="1:8" ht="58" x14ac:dyDescent="0.35">
      <c r="A571">
        <v>3</v>
      </c>
      <c r="B571">
        <v>72</v>
      </c>
      <c r="C571" t="s">
        <v>965</v>
      </c>
      <c r="D571" s="64">
        <f>VLOOKUP(C571,'CHAS - Cook Co'!$C$1:$J$2762,2,FALSE) - VLOOKUP(C571,'CHAS - Chicago'!$C$1:$J$2762,2,FALSE)</f>
        <v>22560</v>
      </c>
      <c r="E571" t="s">
        <v>373</v>
      </c>
      <c r="F571" s="71" t="s">
        <v>508</v>
      </c>
      <c r="G571" s="71" t="s">
        <v>918</v>
      </c>
      <c r="H571" s="71" t="s">
        <v>388</v>
      </c>
    </row>
    <row r="572" spans="1:8" ht="58" x14ac:dyDescent="0.35">
      <c r="A572">
        <v>3</v>
      </c>
      <c r="B572">
        <v>73</v>
      </c>
      <c r="C572" t="s">
        <v>966</v>
      </c>
      <c r="D572" s="64">
        <f>VLOOKUP(C572,'CHAS - Cook Co'!$C$1:$J$2762,2,FALSE) - VLOOKUP(C572,'CHAS - Chicago'!$C$1:$J$2762,2,FALSE)</f>
        <v>16985</v>
      </c>
      <c r="E572" t="s">
        <v>373</v>
      </c>
      <c r="F572" s="71" t="s">
        <v>508</v>
      </c>
      <c r="G572" s="71" t="s">
        <v>918</v>
      </c>
      <c r="H572" s="71" t="s">
        <v>397</v>
      </c>
    </row>
    <row r="573" spans="1:8" ht="58" x14ac:dyDescent="0.35">
      <c r="A573">
        <v>3</v>
      </c>
      <c r="B573">
        <v>74</v>
      </c>
      <c r="C573" t="s">
        <v>967</v>
      </c>
      <c r="D573" s="64">
        <f>VLOOKUP(C573,'CHAS - Cook Co'!$C$1:$J$2762,2,FALSE) - VLOOKUP(C573,'CHAS - Chicago'!$C$1:$J$2762,2,FALSE)</f>
        <v>3200</v>
      </c>
      <c r="E573" t="s">
        <v>373</v>
      </c>
      <c r="F573" s="71" t="s">
        <v>508</v>
      </c>
      <c r="G573" s="71" t="s">
        <v>918</v>
      </c>
      <c r="H573" s="71" t="s">
        <v>406</v>
      </c>
    </row>
    <row r="574" spans="1:8" ht="58" x14ac:dyDescent="0.35">
      <c r="A574">
        <v>3</v>
      </c>
      <c r="B574">
        <v>75</v>
      </c>
      <c r="C574" t="s">
        <v>968</v>
      </c>
      <c r="D574" s="64">
        <f>VLOOKUP(C574,'CHAS - Cook Co'!$C$1:$J$2762,2,FALSE) - VLOOKUP(C574,'CHAS - Chicago'!$C$1:$J$2762,2,FALSE)</f>
        <v>2100</v>
      </c>
      <c r="E574" t="s">
        <v>373</v>
      </c>
      <c r="F574" s="71" t="s">
        <v>508</v>
      </c>
      <c r="G574" s="71" t="s">
        <v>918</v>
      </c>
      <c r="H574" s="71" t="s">
        <v>415</v>
      </c>
    </row>
    <row r="575" spans="1:8" ht="43.5" x14ac:dyDescent="0.35">
      <c r="A575">
        <v>3</v>
      </c>
      <c r="B575">
        <v>76</v>
      </c>
      <c r="C575" t="s">
        <v>969</v>
      </c>
      <c r="D575" s="64">
        <f>VLOOKUP(C575,'CHAS - Cook Co'!$C$1:$J$2762,2,FALSE) - VLOOKUP(C575,'CHAS - Chicago'!$C$1:$J$2762,2,FALSE)</f>
        <v>8560</v>
      </c>
      <c r="E575" t="s">
        <v>366</v>
      </c>
      <c r="F575" s="71" t="s">
        <v>508</v>
      </c>
      <c r="G575" s="71" t="s">
        <v>925</v>
      </c>
      <c r="H575" s="71" t="s">
        <v>363</v>
      </c>
    </row>
    <row r="576" spans="1:8" ht="43.5" x14ac:dyDescent="0.35">
      <c r="A576">
        <v>3</v>
      </c>
      <c r="B576">
        <v>77</v>
      </c>
      <c r="C576" t="s">
        <v>970</v>
      </c>
      <c r="D576" s="64">
        <f>VLOOKUP(C576,'CHAS - Cook Co'!$C$1:$J$2762,2,FALSE) - VLOOKUP(C576,'CHAS - Chicago'!$C$1:$J$2762,2,FALSE)</f>
        <v>8560</v>
      </c>
      <c r="E576" t="s">
        <v>373</v>
      </c>
      <c r="F576" s="71" t="s">
        <v>508</v>
      </c>
      <c r="G576" s="71" t="s">
        <v>925</v>
      </c>
      <c r="H576" s="71" t="s">
        <v>371</v>
      </c>
    </row>
    <row r="577" spans="1:9" ht="43.5" x14ac:dyDescent="0.35">
      <c r="A577">
        <v>3</v>
      </c>
      <c r="B577">
        <v>78</v>
      </c>
      <c r="C577" t="s">
        <v>971</v>
      </c>
      <c r="D577" s="64">
        <f>VLOOKUP(C577,'CHAS - Cook Co'!$C$1:$J$2762,2,FALSE) - VLOOKUP(C577,'CHAS - Chicago'!$C$1:$J$2762,2,FALSE)</f>
        <v>0</v>
      </c>
      <c r="E577" t="s">
        <v>373</v>
      </c>
      <c r="F577" s="71" t="s">
        <v>508</v>
      </c>
      <c r="G577" s="71" t="s">
        <v>925</v>
      </c>
      <c r="H577" s="71" t="s">
        <v>388</v>
      </c>
    </row>
    <row r="578" spans="1:9" ht="43.5" x14ac:dyDescent="0.35">
      <c r="A578">
        <v>3</v>
      </c>
      <c r="B578">
        <v>79</v>
      </c>
      <c r="C578" t="s">
        <v>972</v>
      </c>
      <c r="D578" s="64">
        <f>VLOOKUP(C578,'CHAS - Cook Co'!$C$1:$J$2762,2,FALSE) - VLOOKUP(C578,'CHAS - Chicago'!$C$1:$J$2762,2,FALSE)</f>
        <v>0</v>
      </c>
      <c r="E578" t="s">
        <v>373</v>
      </c>
      <c r="F578" s="71" t="s">
        <v>508</v>
      </c>
      <c r="G578" s="71" t="s">
        <v>925</v>
      </c>
      <c r="H578" s="71" t="s">
        <v>397</v>
      </c>
    </row>
    <row r="579" spans="1:9" ht="43.5" x14ac:dyDescent="0.35">
      <c r="A579">
        <v>3</v>
      </c>
      <c r="B579">
        <v>80</v>
      </c>
      <c r="C579" t="s">
        <v>973</v>
      </c>
      <c r="D579" s="64">
        <f>VLOOKUP(C579,'CHAS - Cook Co'!$C$1:$J$2762,2,FALSE) - VLOOKUP(C579,'CHAS - Chicago'!$C$1:$J$2762,2,FALSE)</f>
        <v>0</v>
      </c>
      <c r="E579" t="s">
        <v>373</v>
      </c>
      <c r="F579" s="71" t="s">
        <v>508</v>
      </c>
      <c r="G579" s="71" t="s">
        <v>925</v>
      </c>
      <c r="H579" s="71" t="s">
        <v>406</v>
      </c>
    </row>
    <row r="580" spans="1:9" ht="43.5" x14ac:dyDescent="0.35">
      <c r="A580">
        <v>3</v>
      </c>
      <c r="B580">
        <v>81</v>
      </c>
      <c r="C580" t="s">
        <v>974</v>
      </c>
      <c r="D580" s="64">
        <f>VLOOKUP(C580,'CHAS - Cook Co'!$C$1:$J$2762,2,FALSE) - VLOOKUP(C580,'CHAS - Chicago'!$C$1:$J$2762,2,FALSE)</f>
        <v>0</v>
      </c>
      <c r="E580" t="s">
        <v>373</v>
      </c>
      <c r="F580" s="71" t="s">
        <v>508</v>
      </c>
      <c r="G580" s="71" t="s">
        <v>925</v>
      </c>
      <c r="H580" s="71" t="s">
        <v>415</v>
      </c>
    </row>
    <row r="581" spans="1:9" ht="43.5" x14ac:dyDescent="0.35">
      <c r="A581">
        <v>3</v>
      </c>
      <c r="B581">
        <v>82</v>
      </c>
      <c r="C581" t="s">
        <v>975</v>
      </c>
      <c r="D581" s="64">
        <f>VLOOKUP(C581,'CHAS - Cook Co'!$C$1:$J$2762,2,FALSE) - VLOOKUP(C581,'CHAS - Chicago'!$C$1:$J$2762,2,FALSE)</f>
        <v>124670</v>
      </c>
      <c r="E581" t="s">
        <v>366</v>
      </c>
      <c r="F581" s="71" t="s">
        <v>508</v>
      </c>
      <c r="G581" s="71" t="s">
        <v>932</v>
      </c>
      <c r="H581" s="71" t="s">
        <v>363</v>
      </c>
    </row>
    <row r="582" spans="1:9" ht="43.5" x14ac:dyDescent="0.35">
      <c r="A582">
        <v>3</v>
      </c>
      <c r="B582">
        <v>83</v>
      </c>
      <c r="C582" t="s">
        <v>976</v>
      </c>
      <c r="D582" s="64">
        <f>VLOOKUP(C582,'CHAS - Cook Co'!$C$1:$J$2762,2,FALSE) - VLOOKUP(C582,'CHAS - Chicago'!$C$1:$J$2762,2,FALSE)</f>
        <v>6820</v>
      </c>
      <c r="E582" t="s">
        <v>373</v>
      </c>
      <c r="F582" s="71" t="s">
        <v>508</v>
      </c>
      <c r="G582" s="71" t="s">
        <v>932</v>
      </c>
      <c r="H582" s="71" t="s">
        <v>371</v>
      </c>
    </row>
    <row r="583" spans="1:9" ht="43.5" x14ac:dyDescent="0.35">
      <c r="A583">
        <v>3</v>
      </c>
      <c r="B583">
        <v>84</v>
      </c>
      <c r="C583" t="s">
        <v>977</v>
      </c>
      <c r="D583" s="64">
        <f>VLOOKUP(C583,'CHAS - Cook Co'!$C$1:$J$2762,2,FALSE) - VLOOKUP(C583,'CHAS - Chicago'!$C$1:$J$2762,2,FALSE)</f>
        <v>7155</v>
      </c>
      <c r="E583" t="s">
        <v>373</v>
      </c>
      <c r="F583" s="71" t="s">
        <v>508</v>
      </c>
      <c r="G583" s="71" t="s">
        <v>932</v>
      </c>
      <c r="H583" s="71" t="s">
        <v>388</v>
      </c>
    </row>
    <row r="584" spans="1:9" ht="43.5" x14ac:dyDescent="0.35">
      <c r="A584">
        <v>3</v>
      </c>
      <c r="B584">
        <v>85</v>
      </c>
      <c r="C584" t="s">
        <v>978</v>
      </c>
      <c r="D584" s="64">
        <f>VLOOKUP(C584,'CHAS - Cook Co'!$C$1:$J$2762,2,FALSE) - VLOOKUP(C584,'CHAS - Chicago'!$C$1:$J$2762,2,FALSE)</f>
        <v>30990</v>
      </c>
      <c r="E584" t="s">
        <v>373</v>
      </c>
      <c r="F584" s="71" t="s">
        <v>508</v>
      </c>
      <c r="G584" s="71" t="s">
        <v>932</v>
      </c>
      <c r="H584" s="71" t="s">
        <v>397</v>
      </c>
    </row>
    <row r="585" spans="1:9" ht="43.5" x14ac:dyDescent="0.35">
      <c r="A585">
        <v>3</v>
      </c>
      <c r="B585">
        <v>86</v>
      </c>
      <c r="C585" t="s">
        <v>979</v>
      </c>
      <c r="D585" s="64">
        <f>VLOOKUP(C585,'CHAS - Cook Co'!$C$1:$J$2762,2,FALSE) - VLOOKUP(C585,'CHAS - Chicago'!$C$1:$J$2762,2,FALSE)</f>
        <v>22450</v>
      </c>
      <c r="E585" t="s">
        <v>373</v>
      </c>
      <c r="F585" s="71" t="s">
        <v>508</v>
      </c>
      <c r="G585" s="71" t="s">
        <v>932</v>
      </c>
      <c r="H585" s="71" t="s">
        <v>406</v>
      </c>
    </row>
    <row r="586" spans="1:9" ht="43.5" x14ac:dyDescent="0.35">
      <c r="A586">
        <v>3</v>
      </c>
      <c r="B586">
        <v>87</v>
      </c>
      <c r="C586" t="s">
        <v>980</v>
      </c>
      <c r="D586" s="64">
        <f>VLOOKUP(C586,'CHAS - Cook Co'!$C$1:$J$2762,2,FALSE) - VLOOKUP(C586,'CHAS - Chicago'!$C$1:$J$2762,2,FALSE)</f>
        <v>57255</v>
      </c>
      <c r="E586" t="s">
        <v>373</v>
      </c>
      <c r="F586" s="71" t="s">
        <v>508</v>
      </c>
      <c r="G586" s="71" t="s">
        <v>932</v>
      </c>
      <c r="H586" s="71" t="s">
        <v>415</v>
      </c>
    </row>
    <row r="587" spans="1:9" ht="29" x14ac:dyDescent="0.35">
      <c r="A587">
        <v>4</v>
      </c>
      <c r="B587">
        <v>1</v>
      </c>
      <c r="C587" t="s">
        <v>981</v>
      </c>
      <c r="D587" s="64">
        <f>VLOOKUP(C587,'CHAS - Cook Co'!$C$1:$J$2762,2,FALSE) - VLOOKUP(C587,'CHAS - Chicago'!$C$1:$J$2762,2,FALSE)</f>
        <v>909025</v>
      </c>
      <c r="E587" t="s">
        <v>26</v>
      </c>
      <c r="F587" s="71" t="s">
        <v>361</v>
      </c>
      <c r="G587" s="71" t="s">
        <v>362</v>
      </c>
      <c r="H587" s="71" t="s">
        <v>982</v>
      </c>
      <c r="I587" s="71" t="s">
        <v>983</v>
      </c>
    </row>
    <row r="588" spans="1:9" x14ac:dyDescent="0.35">
      <c r="A588">
        <v>4</v>
      </c>
      <c r="B588">
        <v>2</v>
      </c>
      <c r="C588" t="s">
        <v>984</v>
      </c>
      <c r="D588" s="64">
        <f>VLOOKUP(C588,'CHAS - Cook Co'!$C$1:$J$2762,2,FALSE) - VLOOKUP(C588,'CHAS - Chicago'!$C$1:$J$2762,2,FALSE)</f>
        <v>645280</v>
      </c>
      <c r="E588" t="s">
        <v>366</v>
      </c>
      <c r="F588" s="71" t="s">
        <v>367</v>
      </c>
      <c r="G588" s="71" t="s">
        <v>362</v>
      </c>
      <c r="H588" s="71" t="s">
        <v>982</v>
      </c>
      <c r="I588" s="71" t="s">
        <v>983</v>
      </c>
    </row>
    <row r="589" spans="1:9" ht="29" x14ac:dyDescent="0.35">
      <c r="A589">
        <v>4</v>
      </c>
      <c r="B589">
        <v>3</v>
      </c>
      <c r="C589" t="s">
        <v>985</v>
      </c>
      <c r="D589" s="64">
        <f>VLOOKUP(C589,'CHAS - Cook Co'!$C$1:$J$2762,2,FALSE) - VLOOKUP(C589,'CHAS - Chicago'!$C$1:$J$2762,2,FALSE)</f>
        <v>203985</v>
      </c>
      <c r="E589" t="s">
        <v>366</v>
      </c>
      <c r="F589" s="71" t="s">
        <v>367</v>
      </c>
      <c r="G589" s="71" t="s">
        <v>986</v>
      </c>
      <c r="H589" s="71" t="s">
        <v>982</v>
      </c>
      <c r="I589" s="71" t="s">
        <v>983</v>
      </c>
    </row>
    <row r="590" spans="1:9" ht="29" x14ac:dyDescent="0.35">
      <c r="A590">
        <v>4</v>
      </c>
      <c r="B590">
        <v>4</v>
      </c>
      <c r="C590" t="s">
        <v>987</v>
      </c>
      <c r="D590" s="64">
        <f>VLOOKUP(C590,'CHAS - Cook Co'!$C$1:$J$2762,2,FALSE) - VLOOKUP(C590,'CHAS - Chicago'!$C$1:$J$2762,2,FALSE)</f>
        <v>35085</v>
      </c>
      <c r="E590" t="s">
        <v>366</v>
      </c>
      <c r="F590" s="71" t="s">
        <v>367</v>
      </c>
      <c r="G590" s="71" t="s">
        <v>986</v>
      </c>
      <c r="H590" s="71" t="s">
        <v>988</v>
      </c>
      <c r="I590" s="71" t="s">
        <v>983</v>
      </c>
    </row>
    <row r="591" spans="1:9" ht="29" x14ac:dyDescent="0.35">
      <c r="A591">
        <v>4</v>
      </c>
      <c r="B591">
        <v>5</v>
      </c>
      <c r="C591" t="s">
        <v>989</v>
      </c>
      <c r="D591" s="64">
        <f>VLOOKUP(C591,'CHAS - Cook Co'!$C$1:$J$2762,2,FALSE) - VLOOKUP(C591,'CHAS - Chicago'!$C$1:$J$2762,2,FALSE)</f>
        <v>30070</v>
      </c>
      <c r="E591" t="s">
        <v>373</v>
      </c>
      <c r="F591" s="71" t="s">
        <v>367</v>
      </c>
      <c r="G591" s="71" t="s">
        <v>986</v>
      </c>
      <c r="H591" s="71" t="s">
        <v>988</v>
      </c>
      <c r="I591" s="71" t="s">
        <v>990</v>
      </c>
    </row>
    <row r="592" spans="1:9" ht="29" x14ac:dyDescent="0.35">
      <c r="A592">
        <v>4</v>
      </c>
      <c r="B592">
        <v>6</v>
      </c>
      <c r="C592" t="s">
        <v>991</v>
      </c>
      <c r="D592" s="64">
        <f>VLOOKUP(C592,'CHAS - Cook Co'!$C$1:$J$2762,2,FALSE) - VLOOKUP(C592,'CHAS - Chicago'!$C$1:$J$2762,2,FALSE)</f>
        <v>5015</v>
      </c>
      <c r="E592" t="s">
        <v>373</v>
      </c>
      <c r="F592" s="71" t="s">
        <v>367</v>
      </c>
      <c r="G592" s="71" t="s">
        <v>986</v>
      </c>
      <c r="H592" s="71" t="s">
        <v>988</v>
      </c>
      <c r="I592" s="71" t="s">
        <v>992</v>
      </c>
    </row>
    <row r="593" spans="1:9" ht="29" x14ac:dyDescent="0.35">
      <c r="A593">
        <v>4</v>
      </c>
      <c r="B593">
        <v>7</v>
      </c>
      <c r="C593" t="s">
        <v>993</v>
      </c>
      <c r="D593" s="64">
        <f>VLOOKUP(C593,'CHAS - Cook Co'!$C$1:$J$2762,2,FALSE) - VLOOKUP(C593,'CHAS - Chicago'!$C$1:$J$2762,2,FALSE)</f>
        <v>96180</v>
      </c>
      <c r="E593" t="s">
        <v>366</v>
      </c>
      <c r="F593" s="71" t="s">
        <v>367</v>
      </c>
      <c r="G593" s="71" t="s">
        <v>986</v>
      </c>
      <c r="H593" s="71" t="s">
        <v>994</v>
      </c>
      <c r="I593" s="71" t="s">
        <v>983</v>
      </c>
    </row>
    <row r="594" spans="1:9" ht="29" x14ac:dyDescent="0.35">
      <c r="A594">
        <v>4</v>
      </c>
      <c r="B594">
        <v>8</v>
      </c>
      <c r="C594" t="s">
        <v>995</v>
      </c>
      <c r="D594" s="64">
        <f>VLOOKUP(C594,'CHAS - Cook Co'!$C$1:$J$2762,2,FALSE) - VLOOKUP(C594,'CHAS - Chicago'!$C$1:$J$2762,2,FALSE)</f>
        <v>73375</v>
      </c>
      <c r="E594" t="s">
        <v>373</v>
      </c>
      <c r="F594" s="71" t="s">
        <v>367</v>
      </c>
      <c r="G594" s="71" t="s">
        <v>986</v>
      </c>
      <c r="H594" s="71" t="s">
        <v>994</v>
      </c>
      <c r="I594" s="71" t="s">
        <v>990</v>
      </c>
    </row>
    <row r="595" spans="1:9" ht="29" x14ac:dyDescent="0.35">
      <c r="A595">
        <v>4</v>
      </c>
      <c r="B595">
        <v>9</v>
      </c>
      <c r="C595" t="s">
        <v>996</v>
      </c>
      <c r="D595" s="64">
        <f>VLOOKUP(C595,'CHAS - Cook Co'!$C$1:$J$2762,2,FALSE) - VLOOKUP(C595,'CHAS - Chicago'!$C$1:$J$2762,2,FALSE)</f>
        <v>22805</v>
      </c>
      <c r="E595" t="s">
        <v>373</v>
      </c>
      <c r="F595" s="71" t="s">
        <v>367</v>
      </c>
      <c r="G595" s="71" t="s">
        <v>986</v>
      </c>
      <c r="H595" s="71" t="s">
        <v>994</v>
      </c>
      <c r="I595" s="71" t="s">
        <v>992</v>
      </c>
    </row>
    <row r="596" spans="1:9" ht="29" x14ac:dyDescent="0.35">
      <c r="A596">
        <v>4</v>
      </c>
      <c r="B596">
        <v>10</v>
      </c>
      <c r="C596" t="s">
        <v>997</v>
      </c>
      <c r="D596" s="64">
        <f>VLOOKUP(C596,'CHAS - Cook Co'!$C$1:$J$2762,2,FALSE) - VLOOKUP(C596,'CHAS - Chicago'!$C$1:$J$2762,2,FALSE)</f>
        <v>72725</v>
      </c>
      <c r="E596" t="s">
        <v>366</v>
      </c>
      <c r="F596" s="71" t="s">
        <v>367</v>
      </c>
      <c r="G596" s="71" t="s">
        <v>986</v>
      </c>
      <c r="H596" s="71" t="s">
        <v>998</v>
      </c>
      <c r="I596" s="71" t="s">
        <v>983</v>
      </c>
    </row>
    <row r="597" spans="1:9" ht="29" x14ac:dyDescent="0.35">
      <c r="A597">
        <v>4</v>
      </c>
      <c r="B597">
        <v>11</v>
      </c>
      <c r="C597" t="s">
        <v>999</v>
      </c>
      <c r="D597" s="64">
        <f>VLOOKUP(C597,'CHAS - Cook Co'!$C$1:$J$2762,2,FALSE) - VLOOKUP(C597,'CHAS - Chicago'!$C$1:$J$2762,2,FALSE)</f>
        <v>72655</v>
      </c>
      <c r="E597" t="s">
        <v>373</v>
      </c>
      <c r="F597" s="71" t="s">
        <v>367</v>
      </c>
      <c r="G597" s="71" t="s">
        <v>986</v>
      </c>
      <c r="H597" s="71" t="s">
        <v>998</v>
      </c>
      <c r="I597" s="71" t="s">
        <v>990</v>
      </c>
    </row>
    <row r="598" spans="1:9" ht="29" x14ac:dyDescent="0.35">
      <c r="A598">
        <v>4</v>
      </c>
      <c r="B598">
        <v>12</v>
      </c>
      <c r="C598" t="s">
        <v>1000</v>
      </c>
      <c r="D598" s="64">
        <f>VLOOKUP(C598,'CHAS - Cook Co'!$C$1:$J$2762,2,FALSE) - VLOOKUP(C598,'CHAS - Chicago'!$C$1:$J$2762,2,FALSE)</f>
        <v>70</v>
      </c>
      <c r="E598" t="s">
        <v>373</v>
      </c>
      <c r="F598" s="71" t="s">
        <v>367</v>
      </c>
      <c r="G598" s="71" t="s">
        <v>986</v>
      </c>
      <c r="H598" s="71" t="s">
        <v>998</v>
      </c>
      <c r="I598" s="71" t="s">
        <v>992</v>
      </c>
    </row>
    <row r="599" spans="1:9" ht="29" x14ac:dyDescent="0.35">
      <c r="A599">
        <v>4</v>
      </c>
      <c r="B599">
        <v>13</v>
      </c>
      <c r="C599" t="s">
        <v>1001</v>
      </c>
      <c r="D599" s="64">
        <f>VLOOKUP(C599,'CHAS - Cook Co'!$C$1:$J$2762,2,FALSE) - VLOOKUP(C599,'CHAS - Chicago'!$C$1:$J$2762,2,FALSE)</f>
        <v>435775</v>
      </c>
      <c r="E599" t="s">
        <v>366</v>
      </c>
      <c r="F599" s="71" t="s">
        <v>367</v>
      </c>
      <c r="G599" s="71" t="s">
        <v>424</v>
      </c>
      <c r="H599" s="71" t="s">
        <v>982</v>
      </c>
      <c r="I599" s="71" t="s">
        <v>983</v>
      </c>
    </row>
    <row r="600" spans="1:9" ht="29" x14ac:dyDescent="0.35">
      <c r="A600">
        <v>4</v>
      </c>
      <c r="B600">
        <v>14</v>
      </c>
      <c r="C600" t="s">
        <v>1002</v>
      </c>
      <c r="D600" s="64">
        <f>VLOOKUP(C600,'CHAS - Cook Co'!$C$1:$J$2762,2,FALSE) - VLOOKUP(C600,'CHAS - Chicago'!$C$1:$J$2762,2,FALSE)</f>
        <v>54560</v>
      </c>
      <c r="E600" t="s">
        <v>366</v>
      </c>
      <c r="F600" s="71" t="s">
        <v>367</v>
      </c>
      <c r="G600" s="71" t="s">
        <v>424</v>
      </c>
      <c r="H600" s="71" t="s">
        <v>988</v>
      </c>
      <c r="I600" s="71" t="s">
        <v>983</v>
      </c>
    </row>
    <row r="601" spans="1:9" ht="29" x14ac:dyDescent="0.35">
      <c r="A601">
        <v>4</v>
      </c>
      <c r="B601">
        <v>15</v>
      </c>
      <c r="C601" t="s">
        <v>1003</v>
      </c>
      <c r="D601" s="64">
        <f>VLOOKUP(C601,'CHAS - Cook Co'!$C$1:$J$2762,2,FALSE) - VLOOKUP(C601,'CHAS - Chicago'!$C$1:$J$2762,2,FALSE)</f>
        <v>49200</v>
      </c>
      <c r="E601" t="s">
        <v>373</v>
      </c>
      <c r="F601" s="71" t="s">
        <v>367</v>
      </c>
      <c r="G601" s="71" t="s">
        <v>424</v>
      </c>
      <c r="H601" s="71" t="s">
        <v>988</v>
      </c>
      <c r="I601" s="71" t="s">
        <v>990</v>
      </c>
    </row>
    <row r="602" spans="1:9" ht="29" x14ac:dyDescent="0.35">
      <c r="A602">
        <v>4</v>
      </c>
      <c r="B602">
        <v>16</v>
      </c>
      <c r="C602" t="s">
        <v>1004</v>
      </c>
      <c r="D602" s="64">
        <f>VLOOKUP(C602,'CHAS - Cook Co'!$C$1:$J$2762,2,FALSE) - VLOOKUP(C602,'CHAS - Chicago'!$C$1:$J$2762,2,FALSE)</f>
        <v>5370</v>
      </c>
      <c r="E602" t="s">
        <v>373</v>
      </c>
      <c r="F602" s="71" t="s">
        <v>367</v>
      </c>
      <c r="G602" s="71" t="s">
        <v>424</v>
      </c>
      <c r="H602" s="71" t="s">
        <v>988</v>
      </c>
      <c r="I602" s="71" t="s">
        <v>992</v>
      </c>
    </row>
    <row r="603" spans="1:9" ht="29" x14ac:dyDescent="0.35">
      <c r="A603">
        <v>4</v>
      </c>
      <c r="B603">
        <v>17</v>
      </c>
      <c r="C603" t="s">
        <v>1005</v>
      </c>
      <c r="D603" s="64">
        <f>VLOOKUP(C603,'CHAS - Cook Co'!$C$1:$J$2762,2,FALSE) - VLOOKUP(C603,'CHAS - Chicago'!$C$1:$J$2762,2,FALSE)</f>
        <v>285260</v>
      </c>
      <c r="E603" t="s">
        <v>366</v>
      </c>
      <c r="F603" s="71" t="s">
        <v>367</v>
      </c>
      <c r="G603" s="71" t="s">
        <v>424</v>
      </c>
      <c r="H603" s="71" t="s">
        <v>994</v>
      </c>
      <c r="I603" s="71" t="s">
        <v>983</v>
      </c>
    </row>
    <row r="604" spans="1:9" ht="29" x14ac:dyDescent="0.35">
      <c r="A604">
        <v>4</v>
      </c>
      <c r="B604">
        <v>18</v>
      </c>
      <c r="C604" t="s">
        <v>1006</v>
      </c>
      <c r="D604" s="64">
        <f>VLOOKUP(C604,'CHAS - Cook Co'!$C$1:$J$2762,2,FALSE) - VLOOKUP(C604,'CHAS - Chicago'!$C$1:$J$2762,2,FALSE)</f>
        <v>244025</v>
      </c>
      <c r="E604" t="s">
        <v>373</v>
      </c>
      <c r="F604" s="71" t="s">
        <v>367</v>
      </c>
      <c r="G604" s="71" t="s">
        <v>424</v>
      </c>
      <c r="H604" s="71" t="s">
        <v>994</v>
      </c>
      <c r="I604" s="71" t="s">
        <v>990</v>
      </c>
    </row>
    <row r="605" spans="1:9" ht="29" x14ac:dyDescent="0.35">
      <c r="A605">
        <v>4</v>
      </c>
      <c r="B605">
        <v>19</v>
      </c>
      <c r="C605" t="s">
        <v>1007</v>
      </c>
      <c r="D605" s="64">
        <f>VLOOKUP(C605,'CHAS - Cook Co'!$C$1:$J$2762,2,FALSE) - VLOOKUP(C605,'CHAS - Chicago'!$C$1:$J$2762,2,FALSE)</f>
        <v>41235</v>
      </c>
      <c r="E605" t="s">
        <v>373</v>
      </c>
      <c r="F605" s="71" t="s">
        <v>367</v>
      </c>
      <c r="G605" s="71" t="s">
        <v>424</v>
      </c>
      <c r="H605" s="71" t="s">
        <v>994</v>
      </c>
      <c r="I605" s="71" t="s">
        <v>992</v>
      </c>
    </row>
    <row r="606" spans="1:9" ht="29" x14ac:dyDescent="0.35">
      <c r="A606">
        <v>4</v>
      </c>
      <c r="B606">
        <v>20</v>
      </c>
      <c r="C606" t="s">
        <v>1008</v>
      </c>
      <c r="D606" s="64">
        <f>VLOOKUP(C606,'CHAS - Cook Co'!$C$1:$J$2762,2,FALSE) - VLOOKUP(C606,'CHAS - Chicago'!$C$1:$J$2762,2,FALSE)</f>
        <v>95955</v>
      </c>
      <c r="E606" t="s">
        <v>366</v>
      </c>
      <c r="F606" s="71" t="s">
        <v>367</v>
      </c>
      <c r="G606" s="71" t="s">
        <v>424</v>
      </c>
      <c r="H606" s="71" t="s">
        <v>998</v>
      </c>
      <c r="I606" s="71" t="s">
        <v>983</v>
      </c>
    </row>
    <row r="607" spans="1:9" ht="29" x14ac:dyDescent="0.35">
      <c r="A607">
        <v>4</v>
      </c>
      <c r="B607">
        <v>21</v>
      </c>
      <c r="C607" t="s">
        <v>1009</v>
      </c>
      <c r="D607" s="64">
        <f>VLOOKUP(C607,'CHAS - Cook Co'!$C$1:$J$2762,2,FALSE) - VLOOKUP(C607,'CHAS - Chicago'!$C$1:$J$2762,2,FALSE)</f>
        <v>95805</v>
      </c>
      <c r="E607" t="s">
        <v>373</v>
      </c>
      <c r="F607" s="71" t="s">
        <v>367</v>
      </c>
      <c r="G607" s="71" t="s">
        <v>424</v>
      </c>
      <c r="H607" s="71" t="s">
        <v>998</v>
      </c>
      <c r="I607" s="71" t="s">
        <v>990</v>
      </c>
    </row>
    <row r="608" spans="1:9" ht="29" x14ac:dyDescent="0.35">
      <c r="A608">
        <v>4</v>
      </c>
      <c r="B608">
        <v>22</v>
      </c>
      <c r="C608" t="s">
        <v>1010</v>
      </c>
      <c r="D608" s="64">
        <f>VLOOKUP(C608,'CHAS - Cook Co'!$C$1:$J$2762,2,FALSE) - VLOOKUP(C608,'CHAS - Chicago'!$C$1:$J$2762,2,FALSE)</f>
        <v>150</v>
      </c>
      <c r="E608" t="s">
        <v>373</v>
      </c>
      <c r="F608" s="71" t="s">
        <v>367</v>
      </c>
      <c r="G608" s="71" t="s">
        <v>424</v>
      </c>
      <c r="H608" s="71" t="s">
        <v>998</v>
      </c>
      <c r="I608" s="71" t="s">
        <v>992</v>
      </c>
    </row>
    <row r="609" spans="1:9" ht="43.5" x14ac:dyDescent="0.35">
      <c r="A609">
        <v>4</v>
      </c>
      <c r="B609">
        <v>23</v>
      </c>
      <c r="C609" t="s">
        <v>1011</v>
      </c>
      <c r="D609" s="64">
        <f>VLOOKUP(C609,'CHAS - Cook Co'!$C$1:$J$2762,2,FALSE) - VLOOKUP(C609,'CHAS - Chicago'!$C$1:$J$2762,2,FALSE)</f>
        <v>5515</v>
      </c>
      <c r="E609" t="s">
        <v>366</v>
      </c>
      <c r="F609" s="71" t="s">
        <v>367</v>
      </c>
      <c r="G609" s="71" t="s">
        <v>466</v>
      </c>
      <c r="H609" s="71" t="s">
        <v>982</v>
      </c>
      <c r="I609" s="71" t="s">
        <v>983</v>
      </c>
    </row>
    <row r="610" spans="1:9" ht="58" x14ac:dyDescent="0.35">
      <c r="A610">
        <v>4</v>
      </c>
      <c r="B610">
        <v>24</v>
      </c>
      <c r="C610" t="s">
        <v>1012</v>
      </c>
      <c r="D610" s="64">
        <f>VLOOKUP(C610,'CHAS - Cook Co'!$C$1:$J$2762,2,FALSE) - VLOOKUP(C610,'CHAS - Chicago'!$C$1:$J$2762,2,FALSE)</f>
        <v>740</v>
      </c>
      <c r="E610" t="s">
        <v>366</v>
      </c>
      <c r="F610" s="71" t="s">
        <v>367</v>
      </c>
      <c r="G610" s="71" t="s">
        <v>1013</v>
      </c>
      <c r="H610" s="71" t="s">
        <v>988</v>
      </c>
      <c r="I610" s="71" t="s">
        <v>983</v>
      </c>
    </row>
    <row r="611" spans="1:9" ht="58" x14ac:dyDescent="0.35">
      <c r="A611">
        <v>4</v>
      </c>
      <c r="B611">
        <v>25</v>
      </c>
      <c r="C611" t="s">
        <v>1014</v>
      </c>
      <c r="D611" s="64">
        <f>VLOOKUP(C611,'CHAS - Cook Co'!$C$1:$J$2762,2,FALSE) - VLOOKUP(C611,'CHAS - Chicago'!$C$1:$J$2762,2,FALSE)</f>
        <v>735</v>
      </c>
      <c r="E611" t="s">
        <v>373</v>
      </c>
      <c r="F611" s="71" t="s">
        <v>367</v>
      </c>
      <c r="G611" s="71" t="s">
        <v>1013</v>
      </c>
      <c r="H611" s="71" t="s">
        <v>988</v>
      </c>
      <c r="I611" s="71" t="s">
        <v>990</v>
      </c>
    </row>
    <row r="612" spans="1:9" ht="58" x14ac:dyDescent="0.35">
      <c r="A612">
        <v>4</v>
      </c>
      <c r="B612">
        <v>26</v>
      </c>
      <c r="C612" t="s">
        <v>1015</v>
      </c>
      <c r="D612" s="64">
        <f>VLOOKUP(C612,'CHAS - Cook Co'!$C$1:$J$2762,2,FALSE) - VLOOKUP(C612,'CHAS - Chicago'!$C$1:$J$2762,2,FALSE)</f>
        <v>0</v>
      </c>
      <c r="E612" t="s">
        <v>373</v>
      </c>
      <c r="F612" s="71" t="s">
        <v>367</v>
      </c>
      <c r="G612" s="71" t="s">
        <v>1013</v>
      </c>
      <c r="H612" s="71" t="s">
        <v>988</v>
      </c>
      <c r="I612" s="71" t="s">
        <v>992</v>
      </c>
    </row>
    <row r="613" spans="1:9" ht="58" x14ac:dyDescent="0.35">
      <c r="A613">
        <v>4</v>
      </c>
      <c r="B613">
        <v>27</v>
      </c>
      <c r="C613" t="s">
        <v>1016</v>
      </c>
      <c r="D613" s="64">
        <f>VLOOKUP(C613,'CHAS - Cook Co'!$C$1:$J$2762,2,FALSE) - VLOOKUP(C613,'CHAS - Chicago'!$C$1:$J$2762,2,FALSE)</f>
        <v>680</v>
      </c>
      <c r="E613" t="s">
        <v>366</v>
      </c>
      <c r="F613" s="71" t="s">
        <v>367</v>
      </c>
      <c r="G613" s="71" t="s">
        <v>1013</v>
      </c>
      <c r="H613" s="71" t="s">
        <v>994</v>
      </c>
      <c r="I613" s="71" t="s">
        <v>983</v>
      </c>
    </row>
    <row r="614" spans="1:9" ht="58" x14ac:dyDescent="0.35">
      <c r="A614">
        <v>4</v>
      </c>
      <c r="B614">
        <v>28</v>
      </c>
      <c r="C614" t="s">
        <v>1017</v>
      </c>
      <c r="D614" s="64">
        <f>VLOOKUP(C614,'CHAS - Cook Co'!$C$1:$J$2762,2,FALSE) - VLOOKUP(C614,'CHAS - Chicago'!$C$1:$J$2762,2,FALSE)</f>
        <v>615</v>
      </c>
      <c r="E614" t="s">
        <v>373</v>
      </c>
      <c r="F614" s="71" t="s">
        <v>367</v>
      </c>
      <c r="G614" s="71" t="s">
        <v>1013</v>
      </c>
      <c r="H614" s="71" t="s">
        <v>994</v>
      </c>
      <c r="I614" s="71" t="s">
        <v>990</v>
      </c>
    </row>
    <row r="615" spans="1:9" ht="58" x14ac:dyDescent="0.35">
      <c r="A615">
        <v>4</v>
      </c>
      <c r="B615">
        <v>29</v>
      </c>
      <c r="C615" t="s">
        <v>1018</v>
      </c>
      <c r="D615" s="64">
        <f>VLOOKUP(C615,'CHAS - Cook Co'!$C$1:$J$2762,2,FALSE) - VLOOKUP(C615,'CHAS - Chicago'!$C$1:$J$2762,2,FALSE)</f>
        <v>65</v>
      </c>
      <c r="E615" t="s">
        <v>373</v>
      </c>
      <c r="F615" s="71" t="s">
        <v>367</v>
      </c>
      <c r="G615" s="71" t="s">
        <v>1013</v>
      </c>
      <c r="H615" s="71" t="s">
        <v>994</v>
      </c>
      <c r="I615" s="71" t="s">
        <v>992</v>
      </c>
    </row>
    <row r="616" spans="1:9" ht="58" x14ac:dyDescent="0.35">
      <c r="A616">
        <v>4</v>
      </c>
      <c r="B616">
        <v>30</v>
      </c>
      <c r="C616" t="s">
        <v>1019</v>
      </c>
      <c r="D616" s="64">
        <f>VLOOKUP(C616,'CHAS - Cook Co'!$C$1:$J$2762,2,FALSE) - VLOOKUP(C616,'CHAS - Chicago'!$C$1:$J$2762,2,FALSE)</f>
        <v>4095</v>
      </c>
      <c r="E616" t="s">
        <v>366</v>
      </c>
      <c r="F616" s="71" t="s">
        <v>367</v>
      </c>
      <c r="G616" s="71" t="s">
        <v>1013</v>
      </c>
      <c r="H616" s="71" t="s">
        <v>998</v>
      </c>
      <c r="I616" s="71" t="s">
        <v>983</v>
      </c>
    </row>
    <row r="617" spans="1:9" ht="58" x14ac:dyDescent="0.35">
      <c r="A617">
        <v>4</v>
      </c>
      <c r="B617">
        <v>31</v>
      </c>
      <c r="C617" t="s">
        <v>1020</v>
      </c>
      <c r="D617" s="64">
        <f>VLOOKUP(C617,'CHAS - Cook Co'!$C$1:$J$2762,2,FALSE) - VLOOKUP(C617,'CHAS - Chicago'!$C$1:$J$2762,2,FALSE)</f>
        <v>4095</v>
      </c>
      <c r="E617" t="s">
        <v>373</v>
      </c>
      <c r="F617" s="71" t="s">
        <v>367</v>
      </c>
      <c r="G617" s="71" t="s">
        <v>1013</v>
      </c>
      <c r="H617" s="71" t="s">
        <v>998</v>
      </c>
      <c r="I617" s="71" t="s">
        <v>990</v>
      </c>
    </row>
    <row r="618" spans="1:9" ht="58" x14ac:dyDescent="0.35">
      <c r="A618">
        <v>4</v>
      </c>
      <c r="B618">
        <v>32</v>
      </c>
      <c r="C618" t="s">
        <v>1021</v>
      </c>
      <c r="D618" s="64">
        <f>VLOOKUP(C618,'CHAS - Cook Co'!$C$1:$J$2762,2,FALSE) - VLOOKUP(C618,'CHAS - Chicago'!$C$1:$J$2762,2,FALSE)</f>
        <v>0</v>
      </c>
      <c r="E618" t="s">
        <v>373</v>
      </c>
      <c r="F618" s="71" t="s">
        <v>367</v>
      </c>
      <c r="G618" s="71" t="s">
        <v>1013</v>
      </c>
      <c r="H618" s="71" t="s">
        <v>998</v>
      </c>
      <c r="I618" s="71" t="s">
        <v>992</v>
      </c>
    </row>
    <row r="619" spans="1:9" x14ac:dyDescent="0.35">
      <c r="A619">
        <v>4</v>
      </c>
      <c r="B619">
        <v>33</v>
      </c>
      <c r="C619" t="s">
        <v>1022</v>
      </c>
      <c r="D619" s="64">
        <f>VLOOKUP(C619,'CHAS - Cook Co'!$C$1:$J$2762,2,FALSE) - VLOOKUP(C619,'CHAS - Chicago'!$C$1:$J$2762,2,FALSE)</f>
        <v>263750</v>
      </c>
      <c r="E619" t="s">
        <v>366</v>
      </c>
      <c r="F619" s="71" t="s">
        <v>508</v>
      </c>
      <c r="G619" s="71" t="s">
        <v>362</v>
      </c>
      <c r="H619" s="71" t="s">
        <v>982</v>
      </c>
      <c r="I619" s="71" t="s">
        <v>983</v>
      </c>
    </row>
    <row r="620" spans="1:9" ht="29" x14ac:dyDescent="0.35">
      <c r="A620">
        <v>4</v>
      </c>
      <c r="B620">
        <v>34</v>
      </c>
      <c r="C620" t="s">
        <v>1023</v>
      </c>
      <c r="D620" s="64">
        <f>VLOOKUP(C620,'CHAS - Cook Co'!$C$1:$J$2762,2,FALSE) - VLOOKUP(C620,'CHAS - Chicago'!$C$1:$J$2762,2,FALSE)</f>
        <v>130520</v>
      </c>
      <c r="E620" t="s">
        <v>366</v>
      </c>
      <c r="F620" s="71" t="s">
        <v>508</v>
      </c>
      <c r="G620" s="71" t="s">
        <v>986</v>
      </c>
      <c r="H620" s="71" t="s">
        <v>982</v>
      </c>
      <c r="I620" s="71" t="s">
        <v>983</v>
      </c>
    </row>
    <row r="621" spans="1:9" ht="29" x14ac:dyDescent="0.35">
      <c r="A621">
        <v>4</v>
      </c>
      <c r="B621">
        <v>35</v>
      </c>
      <c r="C621" t="s">
        <v>1024</v>
      </c>
      <c r="D621" s="64">
        <f>VLOOKUP(C621,'CHAS - Cook Co'!$C$1:$J$2762,2,FALSE) - VLOOKUP(C621,'CHAS - Chicago'!$C$1:$J$2762,2,FALSE)</f>
        <v>40615</v>
      </c>
      <c r="E621" t="s">
        <v>366</v>
      </c>
      <c r="F621" s="71" t="s">
        <v>508</v>
      </c>
      <c r="G621" s="71" t="s">
        <v>986</v>
      </c>
      <c r="H621" s="71" t="s">
        <v>988</v>
      </c>
      <c r="I621" s="71" t="s">
        <v>983</v>
      </c>
    </row>
    <row r="622" spans="1:9" ht="29" x14ac:dyDescent="0.35">
      <c r="A622">
        <v>4</v>
      </c>
      <c r="B622">
        <v>36</v>
      </c>
      <c r="C622" t="s">
        <v>1025</v>
      </c>
      <c r="D622" s="64">
        <f>VLOOKUP(C622,'CHAS - Cook Co'!$C$1:$J$2762,2,FALSE) - VLOOKUP(C622,'CHAS - Chicago'!$C$1:$J$2762,2,FALSE)</f>
        <v>33225</v>
      </c>
      <c r="E622" t="s">
        <v>373</v>
      </c>
      <c r="F622" s="71" t="s">
        <v>508</v>
      </c>
      <c r="G622" s="71" t="s">
        <v>986</v>
      </c>
      <c r="H622" s="71" t="s">
        <v>988</v>
      </c>
      <c r="I622" s="71" t="s">
        <v>990</v>
      </c>
    </row>
    <row r="623" spans="1:9" ht="29" x14ac:dyDescent="0.35">
      <c r="A623">
        <v>4</v>
      </c>
      <c r="B623">
        <v>37</v>
      </c>
      <c r="C623" t="s">
        <v>1026</v>
      </c>
      <c r="D623" s="64">
        <f>VLOOKUP(C623,'CHAS - Cook Co'!$C$1:$J$2762,2,FALSE) - VLOOKUP(C623,'CHAS - Chicago'!$C$1:$J$2762,2,FALSE)</f>
        <v>7390</v>
      </c>
      <c r="E623" t="s">
        <v>373</v>
      </c>
      <c r="F623" s="71" t="s">
        <v>508</v>
      </c>
      <c r="G623" s="71" t="s">
        <v>986</v>
      </c>
      <c r="H623" s="71" t="s">
        <v>988</v>
      </c>
      <c r="I623" s="71" t="s">
        <v>992</v>
      </c>
    </row>
    <row r="624" spans="1:9" ht="29" x14ac:dyDescent="0.35">
      <c r="A624">
        <v>4</v>
      </c>
      <c r="B624">
        <v>38</v>
      </c>
      <c r="C624" t="s">
        <v>1027</v>
      </c>
      <c r="D624" s="64">
        <f>VLOOKUP(C624,'CHAS - Cook Co'!$C$1:$J$2762,2,FALSE) - VLOOKUP(C624,'CHAS - Chicago'!$C$1:$J$2762,2,FALSE)</f>
        <v>32665</v>
      </c>
      <c r="E624" t="s">
        <v>366</v>
      </c>
      <c r="F624" s="71" t="s">
        <v>508</v>
      </c>
      <c r="G624" s="71" t="s">
        <v>986</v>
      </c>
      <c r="H624" s="71" t="s">
        <v>994</v>
      </c>
      <c r="I624" s="71" t="s">
        <v>983</v>
      </c>
    </row>
    <row r="625" spans="1:9" ht="29" x14ac:dyDescent="0.35">
      <c r="A625">
        <v>4</v>
      </c>
      <c r="B625">
        <v>39</v>
      </c>
      <c r="C625" t="s">
        <v>1028</v>
      </c>
      <c r="D625" s="64">
        <f>VLOOKUP(C625,'CHAS - Cook Co'!$C$1:$J$2762,2,FALSE) - VLOOKUP(C625,'CHAS - Chicago'!$C$1:$J$2762,2,FALSE)</f>
        <v>20850</v>
      </c>
      <c r="E625" t="s">
        <v>373</v>
      </c>
      <c r="F625" s="71" t="s">
        <v>508</v>
      </c>
      <c r="G625" s="71" t="s">
        <v>986</v>
      </c>
      <c r="H625" s="71" t="s">
        <v>994</v>
      </c>
      <c r="I625" s="71" t="s">
        <v>990</v>
      </c>
    </row>
    <row r="626" spans="1:9" ht="29" x14ac:dyDescent="0.35">
      <c r="A626">
        <v>4</v>
      </c>
      <c r="B626">
        <v>40</v>
      </c>
      <c r="C626" t="s">
        <v>1029</v>
      </c>
      <c r="D626" s="64">
        <f>VLOOKUP(C626,'CHAS - Cook Co'!$C$1:$J$2762,2,FALSE) - VLOOKUP(C626,'CHAS - Chicago'!$C$1:$J$2762,2,FALSE)</f>
        <v>11810</v>
      </c>
      <c r="E626" t="s">
        <v>373</v>
      </c>
      <c r="F626" s="71" t="s">
        <v>508</v>
      </c>
      <c r="G626" s="71" t="s">
        <v>986</v>
      </c>
      <c r="H626" s="71" t="s">
        <v>994</v>
      </c>
      <c r="I626" s="71" t="s">
        <v>992</v>
      </c>
    </row>
    <row r="627" spans="1:9" ht="29" x14ac:dyDescent="0.35">
      <c r="A627">
        <v>4</v>
      </c>
      <c r="B627">
        <v>41</v>
      </c>
      <c r="C627" t="s">
        <v>1030</v>
      </c>
      <c r="D627" s="64">
        <f>VLOOKUP(C627,'CHAS - Cook Co'!$C$1:$J$2762,2,FALSE) - VLOOKUP(C627,'CHAS - Chicago'!$C$1:$J$2762,2,FALSE)</f>
        <v>57240</v>
      </c>
      <c r="E627" t="s">
        <v>366</v>
      </c>
      <c r="F627" s="71" t="s">
        <v>508</v>
      </c>
      <c r="G627" s="71" t="s">
        <v>986</v>
      </c>
      <c r="H627" s="71" t="s">
        <v>998</v>
      </c>
      <c r="I627" s="71" t="s">
        <v>983</v>
      </c>
    </row>
    <row r="628" spans="1:9" ht="29" x14ac:dyDescent="0.35">
      <c r="A628">
        <v>4</v>
      </c>
      <c r="B628">
        <v>42</v>
      </c>
      <c r="C628" t="s">
        <v>1031</v>
      </c>
      <c r="D628" s="64">
        <f>VLOOKUP(C628,'CHAS - Cook Co'!$C$1:$J$2762,2,FALSE) - VLOOKUP(C628,'CHAS - Chicago'!$C$1:$J$2762,2,FALSE)</f>
        <v>57010</v>
      </c>
      <c r="E628" t="s">
        <v>373</v>
      </c>
      <c r="F628" s="71" t="s">
        <v>508</v>
      </c>
      <c r="G628" s="71" t="s">
        <v>986</v>
      </c>
      <c r="H628" s="71" t="s">
        <v>998</v>
      </c>
      <c r="I628" s="71" t="s">
        <v>990</v>
      </c>
    </row>
    <row r="629" spans="1:9" ht="29" x14ac:dyDescent="0.35">
      <c r="A629">
        <v>4</v>
      </c>
      <c r="B629">
        <v>43</v>
      </c>
      <c r="C629" t="s">
        <v>1032</v>
      </c>
      <c r="D629" s="64">
        <f>VLOOKUP(C629,'CHAS - Cook Co'!$C$1:$J$2762,2,FALSE) - VLOOKUP(C629,'CHAS - Chicago'!$C$1:$J$2762,2,FALSE)</f>
        <v>230</v>
      </c>
      <c r="E629" t="s">
        <v>373</v>
      </c>
      <c r="F629" s="71" t="s">
        <v>508</v>
      </c>
      <c r="G629" s="71" t="s">
        <v>986</v>
      </c>
      <c r="H629" s="71" t="s">
        <v>998</v>
      </c>
      <c r="I629" s="71" t="s">
        <v>992</v>
      </c>
    </row>
    <row r="630" spans="1:9" ht="29" x14ac:dyDescent="0.35">
      <c r="A630">
        <v>4</v>
      </c>
      <c r="B630">
        <v>44</v>
      </c>
      <c r="C630" t="s">
        <v>1033</v>
      </c>
      <c r="D630" s="64">
        <f>VLOOKUP(C630,'CHAS - Cook Co'!$C$1:$J$2762,2,FALSE) - VLOOKUP(C630,'CHAS - Chicago'!$C$1:$J$2762,2,FALSE)</f>
        <v>124670</v>
      </c>
      <c r="E630" t="s">
        <v>366</v>
      </c>
      <c r="F630" s="71" t="s">
        <v>508</v>
      </c>
      <c r="G630" s="71" t="s">
        <v>424</v>
      </c>
      <c r="H630" s="71" t="s">
        <v>982</v>
      </c>
      <c r="I630" s="71" t="s">
        <v>983</v>
      </c>
    </row>
    <row r="631" spans="1:9" ht="29" x14ac:dyDescent="0.35">
      <c r="A631">
        <v>4</v>
      </c>
      <c r="B631">
        <v>45</v>
      </c>
      <c r="C631" t="s">
        <v>1034</v>
      </c>
      <c r="D631" s="64">
        <f>VLOOKUP(C631,'CHAS - Cook Co'!$C$1:$J$2762,2,FALSE) - VLOOKUP(C631,'CHAS - Chicago'!$C$1:$J$2762,2,FALSE)</f>
        <v>27960</v>
      </c>
      <c r="E631" t="s">
        <v>366</v>
      </c>
      <c r="F631" s="71" t="s">
        <v>508</v>
      </c>
      <c r="G631" s="71" t="s">
        <v>424</v>
      </c>
      <c r="H631" s="71" t="s">
        <v>988</v>
      </c>
      <c r="I631" s="71" t="s">
        <v>983</v>
      </c>
    </row>
    <row r="632" spans="1:9" ht="29" x14ac:dyDescent="0.35">
      <c r="A632">
        <v>4</v>
      </c>
      <c r="B632">
        <v>46</v>
      </c>
      <c r="C632" t="s">
        <v>1035</v>
      </c>
      <c r="D632" s="64">
        <f>VLOOKUP(C632,'CHAS - Cook Co'!$C$1:$J$2762,2,FALSE) - VLOOKUP(C632,'CHAS - Chicago'!$C$1:$J$2762,2,FALSE)</f>
        <v>25195</v>
      </c>
      <c r="E632" t="s">
        <v>373</v>
      </c>
      <c r="F632" s="71" t="s">
        <v>508</v>
      </c>
      <c r="G632" s="71" t="s">
        <v>424</v>
      </c>
      <c r="H632" s="71" t="s">
        <v>988</v>
      </c>
      <c r="I632" s="71" t="s">
        <v>990</v>
      </c>
    </row>
    <row r="633" spans="1:9" ht="29" x14ac:dyDescent="0.35">
      <c r="A633">
        <v>4</v>
      </c>
      <c r="B633">
        <v>47</v>
      </c>
      <c r="C633" t="s">
        <v>1036</v>
      </c>
      <c r="D633" s="64">
        <f>VLOOKUP(C633,'CHAS - Cook Co'!$C$1:$J$2762,2,FALSE) - VLOOKUP(C633,'CHAS - Chicago'!$C$1:$J$2762,2,FALSE)</f>
        <v>2765</v>
      </c>
      <c r="E633" t="s">
        <v>373</v>
      </c>
      <c r="F633" s="71" t="s">
        <v>508</v>
      </c>
      <c r="G633" s="71" t="s">
        <v>424</v>
      </c>
      <c r="H633" s="71" t="s">
        <v>988</v>
      </c>
      <c r="I633" s="71" t="s">
        <v>992</v>
      </c>
    </row>
    <row r="634" spans="1:9" ht="29" x14ac:dyDescent="0.35">
      <c r="A634">
        <v>4</v>
      </c>
      <c r="B634">
        <v>48</v>
      </c>
      <c r="C634" t="s">
        <v>1037</v>
      </c>
      <c r="D634" s="64">
        <f>VLOOKUP(C634,'CHAS - Cook Co'!$C$1:$J$2762,2,FALSE) - VLOOKUP(C634,'CHAS - Chicago'!$C$1:$J$2762,2,FALSE)</f>
        <v>43390</v>
      </c>
      <c r="E634" t="s">
        <v>366</v>
      </c>
      <c r="F634" s="71" t="s">
        <v>508</v>
      </c>
      <c r="G634" s="71" t="s">
        <v>424</v>
      </c>
      <c r="H634" s="71" t="s">
        <v>994</v>
      </c>
      <c r="I634" s="71" t="s">
        <v>983</v>
      </c>
    </row>
    <row r="635" spans="1:9" ht="29" x14ac:dyDescent="0.35">
      <c r="A635">
        <v>4</v>
      </c>
      <c r="B635">
        <v>49</v>
      </c>
      <c r="C635" t="s">
        <v>1038</v>
      </c>
      <c r="D635" s="64">
        <f>VLOOKUP(C635,'CHAS - Cook Co'!$C$1:$J$2762,2,FALSE) - VLOOKUP(C635,'CHAS - Chicago'!$C$1:$J$2762,2,FALSE)</f>
        <v>37650</v>
      </c>
      <c r="E635" t="s">
        <v>373</v>
      </c>
      <c r="F635" s="71" t="s">
        <v>508</v>
      </c>
      <c r="G635" s="71" t="s">
        <v>424</v>
      </c>
      <c r="H635" s="71" t="s">
        <v>994</v>
      </c>
      <c r="I635" s="71" t="s">
        <v>990</v>
      </c>
    </row>
    <row r="636" spans="1:9" ht="29" x14ac:dyDescent="0.35">
      <c r="A636">
        <v>4</v>
      </c>
      <c r="B636">
        <v>50</v>
      </c>
      <c r="C636" t="s">
        <v>1039</v>
      </c>
      <c r="D636" s="64">
        <f>VLOOKUP(C636,'CHAS - Cook Co'!$C$1:$J$2762,2,FALSE) - VLOOKUP(C636,'CHAS - Chicago'!$C$1:$J$2762,2,FALSE)</f>
        <v>5730</v>
      </c>
      <c r="E636" t="s">
        <v>373</v>
      </c>
      <c r="F636" s="71" t="s">
        <v>508</v>
      </c>
      <c r="G636" s="71" t="s">
        <v>424</v>
      </c>
      <c r="H636" s="71" t="s">
        <v>994</v>
      </c>
      <c r="I636" s="71" t="s">
        <v>992</v>
      </c>
    </row>
    <row r="637" spans="1:9" ht="29" x14ac:dyDescent="0.35">
      <c r="A637">
        <v>4</v>
      </c>
      <c r="B637">
        <v>51</v>
      </c>
      <c r="C637" t="s">
        <v>1040</v>
      </c>
      <c r="D637" s="64">
        <f>VLOOKUP(C637,'CHAS - Cook Co'!$C$1:$J$2762,2,FALSE) - VLOOKUP(C637,'CHAS - Chicago'!$C$1:$J$2762,2,FALSE)</f>
        <v>53320</v>
      </c>
      <c r="E637" t="s">
        <v>366</v>
      </c>
      <c r="F637" s="71" t="s">
        <v>508</v>
      </c>
      <c r="G637" s="71" t="s">
        <v>424</v>
      </c>
      <c r="H637" s="71" t="s">
        <v>998</v>
      </c>
      <c r="I637" s="71" t="s">
        <v>983</v>
      </c>
    </row>
    <row r="638" spans="1:9" ht="29" x14ac:dyDescent="0.35">
      <c r="A638">
        <v>4</v>
      </c>
      <c r="B638">
        <v>52</v>
      </c>
      <c r="C638" t="s">
        <v>1041</v>
      </c>
      <c r="D638" s="64">
        <f>VLOOKUP(C638,'CHAS - Cook Co'!$C$1:$J$2762,2,FALSE) - VLOOKUP(C638,'CHAS - Chicago'!$C$1:$J$2762,2,FALSE)</f>
        <v>53310</v>
      </c>
      <c r="E638" t="s">
        <v>373</v>
      </c>
      <c r="F638" s="71" t="s">
        <v>508</v>
      </c>
      <c r="G638" s="71" t="s">
        <v>424</v>
      </c>
      <c r="H638" s="71" t="s">
        <v>998</v>
      </c>
      <c r="I638" s="71" t="s">
        <v>990</v>
      </c>
    </row>
    <row r="639" spans="1:9" ht="29" x14ac:dyDescent="0.35">
      <c r="A639">
        <v>4</v>
      </c>
      <c r="B639">
        <v>53</v>
      </c>
      <c r="C639" t="s">
        <v>1042</v>
      </c>
      <c r="D639" s="64">
        <f>VLOOKUP(C639,'CHAS - Cook Co'!$C$1:$J$2762,2,FALSE) - VLOOKUP(C639,'CHAS - Chicago'!$C$1:$J$2762,2,FALSE)</f>
        <v>10</v>
      </c>
      <c r="E639" t="s">
        <v>373</v>
      </c>
      <c r="F639" s="71" t="s">
        <v>508</v>
      </c>
      <c r="G639" s="71" t="s">
        <v>424</v>
      </c>
      <c r="H639" s="71" t="s">
        <v>998</v>
      </c>
      <c r="I639" s="71" t="s">
        <v>992</v>
      </c>
    </row>
    <row r="640" spans="1:9" ht="43.5" x14ac:dyDescent="0.35">
      <c r="A640">
        <v>4</v>
      </c>
      <c r="B640">
        <v>54</v>
      </c>
      <c r="C640" t="s">
        <v>1043</v>
      </c>
      <c r="D640" s="64">
        <f>VLOOKUP(C640,'CHAS - Cook Co'!$C$1:$J$2762,2,FALSE) - VLOOKUP(C640,'CHAS - Chicago'!$C$1:$J$2762,2,FALSE)</f>
        <v>8560</v>
      </c>
      <c r="E640" t="s">
        <v>366</v>
      </c>
      <c r="F640" s="71" t="s">
        <v>508</v>
      </c>
      <c r="G640" s="71" t="s">
        <v>466</v>
      </c>
      <c r="H640" s="71" t="s">
        <v>982</v>
      </c>
      <c r="I640" s="71" t="s">
        <v>983</v>
      </c>
    </row>
    <row r="641" spans="1:9" ht="58" x14ac:dyDescent="0.35">
      <c r="A641">
        <v>4</v>
      </c>
      <c r="B641">
        <v>55</v>
      </c>
      <c r="C641" t="s">
        <v>1044</v>
      </c>
      <c r="D641" s="64">
        <f>VLOOKUP(C641,'CHAS - Cook Co'!$C$1:$J$2762,2,FALSE) - VLOOKUP(C641,'CHAS - Chicago'!$C$1:$J$2762,2,FALSE)</f>
        <v>2120</v>
      </c>
      <c r="E641" t="s">
        <v>366</v>
      </c>
      <c r="F641" s="71" t="s">
        <v>508</v>
      </c>
      <c r="G641" s="71" t="s">
        <v>1013</v>
      </c>
      <c r="H641" s="71" t="s">
        <v>988</v>
      </c>
      <c r="I641" s="71" t="s">
        <v>983</v>
      </c>
    </row>
    <row r="642" spans="1:9" ht="58" x14ac:dyDescent="0.35">
      <c r="A642">
        <v>4</v>
      </c>
      <c r="B642">
        <v>56</v>
      </c>
      <c r="C642" t="s">
        <v>1045</v>
      </c>
      <c r="D642" s="64">
        <f>VLOOKUP(C642,'CHAS - Cook Co'!$C$1:$J$2762,2,FALSE) - VLOOKUP(C642,'CHAS - Chicago'!$C$1:$J$2762,2,FALSE)</f>
        <v>1955</v>
      </c>
      <c r="E642" t="s">
        <v>373</v>
      </c>
      <c r="F642" s="71" t="s">
        <v>508</v>
      </c>
      <c r="G642" s="71" t="s">
        <v>1013</v>
      </c>
      <c r="H642" s="71" t="s">
        <v>988</v>
      </c>
      <c r="I642" s="71" t="s">
        <v>990</v>
      </c>
    </row>
    <row r="643" spans="1:9" ht="58" x14ac:dyDescent="0.35">
      <c r="A643">
        <v>4</v>
      </c>
      <c r="B643">
        <v>57</v>
      </c>
      <c r="C643" t="s">
        <v>1046</v>
      </c>
      <c r="D643" s="64">
        <f>VLOOKUP(C643,'CHAS - Cook Co'!$C$1:$J$2762,2,FALSE) - VLOOKUP(C643,'CHAS - Chicago'!$C$1:$J$2762,2,FALSE)</f>
        <v>165</v>
      </c>
      <c r="E643" t="s">
        <v>373</v>
      </c>
      <c r="F643" s="71" t="s">
        <v>508</v>
      </c>
      <c r="G643" s="71" t="s">
        <v>1013</v>
      </c>
      <c r="H643" s="71" t="s">
        <v>988</v>
      </c>
      <c r="I643" s="71" t="s">
        <v>992</v>
      </c>
    </row>
    <row r="644" spans="1:9" ht="58" x14ac:dyDescent="0.35">
      <c r="A644">
        <v>4</v>
      </c>
      <c r="B644">
        <v>58</v>
      </c>
      <c r="C644" t="s">
        <v>1047</v>
      </c>
      <c r="D644" s="64">
        <f>VLOOKUP(C644,'CHAS - Cook Co'!$C$1:$J$2762,2,FALSE) - VLOOKUP(C644,'CHAS - Chicago'!$C$1:$J$2762,2,FALSE)</f>
        <v>645</v>
      </c>
      <c r="E644" t="s">
        <v>366</v>
      </c>
      <c r="F644" s="71" t="s">
        <v>508</v>
      </c>
      <c r="G644" s="71" t="s">
        <v>1013</v>
      </c>
      <c r="H644" s="71" t="s">
        <v>994</v>
      </c>
      <c r="I644" s="71" t="s">
        <v>983</v>
      </c>
    </row>
    <row r="645" spans="1:9" ht="58" x14ac:dyDescent="0.35">
      <c r="A645">
        <v>4</v>
      </c>
      <c r="B645">
        <v>59</v>
      </c>
      <c r="C645" t="s">
        <v>1048</v>
      </c>
      <c r="D645" s="64">
        <f>VLOOKUP(C645,'CHAS - Cook Co'!$C$1:$J$2762,2,FALSE) - VLOOKUP(C645,'CHAS - Chicago'!$C$1:$J$2762,2,FALSE)</f>
        <v>575</v>
      </c>
      <c r="E645" t="s">
        <v>373</v>
      </c>
      <c r="F645" s="71" t="s">
        <v>508</v>
      </c>
      <c r="G645" s="71" t="s">
        <v>1013</v>
      </c>
      <c r="H645" s="71" t="s">
        <v>994</v>
      </c>
      <c r="I645" s="71" t="s">
        <v>990</v>
      </c>
    </row>
    <row r="646" spans="1:9" ht="58" x14ac:dyDescent="0.35">
      <c r="A646">
        <v>4</v>
      </c>
      <c r="B646">
        <v>60</v>
      </c>
      <c r="C646" t="s">
        <v>1049</v>
      </c>
      <c r="D646" s="64">
        <f>VLOOKUP(C646,'CHAS - Cook Co'!$C$1:$J$2762,2,FALSE) - VLOOKUP(C646,'CHAS - Chicago'!$C$1:$J$2762,2,FALSE)</f>
        <v>70</v>
      </c>
      <c r="E646" t="s">
        <v>373</v>
      </c>
      <c r="F646" s="71" t="s">
        <v>508</v>
      </c>
      <c r="G646" s="71" t="s">
        <v>1013</v>
      </c>
      <c r="H646" s="71" t="s">
        <v>994</v>
      </c>
      <c r="I646" s="71" t="s">
        <v>992</v>
      </c>
    </row>
    <row r="647" spans="1:9" ht="58" x14ac:dyDescent="0.35">
      <c r="A647">
        <v>4</v>
      </c>
      <c r="B647">
        <v>61</v>
      </c>
      <c r="C647" t="s">
        <v>1050</v>
      </c>
      <c r="D647" s="64">
        <f>VLOOKUP(C647,'CHAS - Cook Co'!$C$1:$J$2762,2,FALSE) - VLOOKUP(C647,'CHAS - Chicago'!$C$1:$J$2762,2,FALSE)</f>
        <v>5795</v>
      </c>
      <c r="E647" t="s">
        <v>366</v>
      </c>
      <c r="F647" s="71" t="s">
        <v>508</v>
      </c>
      <c r="G647" s="71" t="s">
        <v>1013</v>
      </c>
      <c r="H647" s="71" t="s">
        <v>998</v>
      </c>
      <c r="I647" s="71" t="s">
        <v>983</v>
      </c>
    </row>
    <row r="648" spans="1:9" ht="58" x14ac:dyDescent="0.35">
      <c r="A648">
        <v>4</v>
      </c>
      <c r="B648">
        <v>62</v>
      </c>
      <c r="C648" t="s">
        <v>1051</v>
      </c>
      <c r="D648" s="64">
        <f>VLOOKUP(C648,'CHAS - Cook Co'!$C$1:$J$2762,2,FALSE) - VLOOKUP(C648,'CHAS - Chicago'!$C$1:$J$2762,2,FALSE)</f>
        <v>5780</v>
      </c>
      <c r="E648" t="s">
        <v>373</v>
      </c>
      <c r="F648" s="71" t="s">
        <v>508</v>
      </c>
      <c r="G648" s="71" t="s">
        <v>1013</v>
      </c>
      <c r="H648" s="71" t="s">
        <v>998</v>
      </c>
      <c r="I648" s="71" t="s">
        <v>990</v>
      </c>
    </row>
    <row r="649" spans="1:9" ht="58" x14ac:dyDescent="0.35">
      <c r="A649">
        <v>4</v>
      </c>
      <c r="B649">
        <v>63</v>
      </c>
      <c r="C649" t="s">
        <v>1052</v>
      </c>
      <c r="D649" s="64">
        <f>VLOOKUP(C649,'CHAS - Cook Co'!$C$1:$J$2762,2,FALSE) - VLOOKUP(C649,'CHAS - Chicago'!$C$1:$J$2762,2,FALSE)</f>
        <v>10</v>
      </c>
      <c r="E649" t="s">
        <v>373</v>
      </c>
      <c r="F649" s="71" t="s">
        <v>508</v>
      </c>
      <c r="G649" s="71" t="s">
        <v>1013</v>
      </c>
      <c r="H649" s="71" t="s">
        <v>998</v>
      </c>
      <c r="I649" s="71" t="s">
        <v>992</v>
      </c>
    </row>
    <row r="650" spans="1:9" ht="29" x14ac:dyDescent="0.35">
      <c r="A650">
        <v>5</v>
      </c>
      <c r="B650">
        <v>1</v>
      </c>
      <c r="C650" t="s">
        <v>1053</v>
      </c>
      <c r="D650" s="64">
        <f>VLOOKUP(C650,'CHAS - Cook Co'!$C$1:$J$2762,2,FALSE) - VLOOKUP(C650,'CHAS - Chicago'!$C$1:$J$2762,2,FALSE)</f>
        <v>909025</v>
      </c>
      <c r="E650" t="s">
        <v>26</v>
      </c>
      <c r="F650" s="71" t="s">
        <v>361</v>
      </c>
      <c r="G650" s="71" t="s">
        <v>362</v>
      </c>
      <c r="H650" s="71" t="s">
        <v>363</v>
      </c>
      <c r="I650" s="71" t="s">
        <v>1054</v>
      </c>
    </row>
    <row r="651" spans="1:9" x14ac:dyDescent="0.35">
      <c r="A651">
        <v>5</v>
      </c>
      <c r="B651">
        <v>2</v>
      </c>
      <c r="C651" t="s">
        <v>1055</v>
      </c>
      <c r="D651" s="64">
        <f>VLOOKUP(C651,'CHAS - Cook Co'!$C$1:$J$2762,2,FALSE) - VLOOKUP(C651,'CHAS - Chicago'!$C$1:$J$2762,2,FALSE)</f>
        <v>645280</v>
      </c>
      <c r="E651" t="s">
        <v>366</v>
      </c>
      <c r="F651" s="71" t="s">
        <v>367</v>
      </c>
      <c r="G651" s="71" t="s">
        <v>362</v>
      </c>
      <c r="H651" s="71" t="s">
        <v>363</v>
      </c>
      <c r="I651" s="71" t="s">
        <v>1054</v>
      </c>
    </row>
    <row r="652" spans="1:9" ht="43.5" x14ac:dyDescent="0.35">
      <c r="A652">
        <v>5</v>
      </c>
      <c r="B652">
        <v>3</v>
      </c>
      <c r="C652" t="s">
        <v>1056</v>
      </c>
      <c r="D652" s="64">
        <f>VLOOKUP(C652,'CHAS - Cook Co'!$C$1:$J$2762,2,FALSE) - VLOOKUP(C652,'CHAS - Chicago'!$C$1:$J$2762,2,FALSE)</f>
        <v>203985</v>
      </c>
      <c r="E652" t="s">
        <v>366</v>
      </c>
      <c r="F652" s="71" t="s">
        <v>367</v>
      </c>
      <c r="G652" s="71" t="s">
        <v>1057</v>
      </c>
      <c r="H652" s="71" t="s">
        <v>363</v>
      </c>
      <c r="I652" s="71" t="s">
        <v>1054</v>
      </c>
    </row>
    <row r="653" spans="1:9" ht="43.5" x14ac:dyDescent="0.35">
      <c r="A653">
        <v>5</v>
      </c>
      <c r="B653">
        <v>4</v>
      </c>
      <c r="C653" t="s">
        <v>1058</v>
      </c>
      <c r="D653" s="64">
        <f>VLOOKUP(C653,'CHAS - Cook Co'!$C$1:$J$2762,2,FALSE) - VLOOKUP(C653,'CHAS - Chicago'!$C$1:$J$2762,2,FALSE)</f>
        <v>45640</v>
      </c>
      <c r="E653" t="s">
        <v>366</v>
      </c>
      <c r="F653" s="71" t="s">
        <v>367</v>
      </c>
      <c r="G653" s="71" t="s">
        <v>1057</v>
      </c>
      <c r="H653" s="71" t="s">
        <v>371</v>
      </c>
      <c r="I653" s="71" t="s">
        <v>1054</v>
      </c>
    </row>
    <row r="654" spans="1:9" ht="43.5" x14ac:dyDescent="0.35">
      <c r="A654">
        <v>5</v>
      </c>
      <c r="B654">
        <v>5</v>
      </c>
      <c r="C654" t="s">
        <v>1059</v>
      </c>
      <c r="D654" s="64">
        <f>VLOOKUP(C654,'CHAS - Cook Co'!$C$1:$J$2762,2,FALSE) - VLOOKUP(C654,'CHAS - Chicago'!$C$1:$J$2762,2,FALSE)</f>
        <v>13410</v>
      </c>
      <c r="E654" t="s">
        <v>373</v>
      </c>
      <c r="F654" s="71" t="s">
        <v>367</v>
      </c>
      <c r="G654" s="71" t="s">
        <v>1057</v>
      </c>
      <c r="H654" s="71" t="s">
        <v>371</v>
      </c>
      <c r="I654" s="71" t="s">
        <v>1060</v>
      </c>
    </row>
    <row r="655" spans="1:9" ht="43.5" x14ac:dyDescent="0.35">
      <c r="A655">
        <v>5</v>
      </c>
      <c r="B655">
        <v>6</v>
      </c>
      <c r="C655" t="s">
        <v>1061</v>
      </c>
      <c r="D655" s="64">
        <f>VLOOKUP(C655,'CHAS - Cook Co'!$C$1:$J$2762,2,FALSE) - VLOOKUP(C655,'CHAS - Chicago'!$C$1:$J$2762,2,FALSE)</f>
        <v>12150</v>
      </c>
      <c r="E655" t="s">
        <v>373</v>
      </c>
      <c r="F655" s="71" t="s">
        <v>367</v>
      </c>
      <c r="G655" s="71" t="s">
        <v>1057</v>
      </c>
      <c r="H655" s="71" t="s">
        <v>371</v>
      </c>
      <c r="I655" s="71" t="s">
        <v>1062</v>
      </c>
    </row>
    <row r="656" spans="1:9" ht="43.5" x14ac:dyDescent="0.35">
      <c r="A656">
        <v>5</v>
      </c>
      <c r="B656">
        <v>7</v>
      </c>
      <c r="C656" t="s">
        <v>1063</v>
      </c>
      <c r="D656" s="64">
        <f>VLOOKUP(C656,'CHAS - Cook Co'!$C$1:$J$2762,2,FALSE) - VLOOKUP(C656,'CHAS - Chicago'!$C$1:$J$2762,2,FALSE)</f>
        <v>20075</v>
      </c>
      <c r="E656" t="s">
        <v>373</v>
      </c>
      <c r="F656" s="71" t="s">
        <v>367</v>
      </c>
      <c r="G656" s="71" t="s">
        <v>1057</v>
      </c>
      <c r="H656" s="71" t="s">
        <v>371</v>
      </c>
      <c r="I656" s="71" t="s">
        <v>1064</v>
      </c>
    </row>
    <row r="657" spans="1:9" ht="43.5" x14ac:dyDescent="0.35">
      <c r="A657">
        <v>5</v>
      </c>
      <c r="B657">
        <v>8</v>
      </c>
      <c r="C657" t="s">
        <v>1065</v>
      </c>
      <c r="D657" s="64">
        <f>VLOOKUP(C657,'CHAS - Cook Co'!$C$1:$J$2762,2,FALSE) - VLOOKUP(C657,'CHAS - Chicago'!$C$1:$J$2762,2,FALSE)</f>
        <v>46840</v>
      </c>
      <c r="E657" t="s">
        <v>366</v>
      </c>
      <c r="F657" s="71" t="s">
        <v>367</v>
      </c>
      <c r="G657" s="71" t="s">
        <v>1057</v>
      </c>
      <c r="H657" s="71" t="s">
        <v>388</v>
      </c>
      <c r="I657" s="71" t="s">
        <v>1054</v>
      </c>
    </row>
    <row r="658" spans="1:9" ht="43.5" x14ac:dyDescent="0.35">
      <c r="A658">
        <v>5</v>
      </c>
      <c r="B658">
        <v>9</v>
      </c>
      <c r="C658" t="s">
        <v>1066</v>
      </c>
      <c r="D658" s="64">
        <f>VLOOKUP(C658,'CHAS - Cook Co'!$C$1:$J$2762,2,FALSE) - VLOOKUP(C658,'CHAS - Chicago'!$C$1:$J$2762,2,FALSE)</f>
        <v>14280</v>
      </c>
      <c r="E658" t="s">
        <v>373</v>
      </c>
      <c r="F658" s="71" t="s">
        <v>367</v>
      </c>
      <c r="G658" s="71" t="s">
        <v>1057</v>
      </c>
      <c r="H658" s="71" t="s">
        <v>388</v>
      </c>
      <c r="I658" s="71" t="s">
        <v>1060</v>
      </c>
    </row>
    <row r="659" spans="1:9" ht="43.5" x14ac:dyDescent="0.35">
      <c r="A659">
        <v>5</v>
      </c>
      <c r="B659">
        <v>10</v>
      </c>
      <c r="C659" t="s">
        <v>1067</v>
      </c>
      <c r="D659" s="64">
        <f>VLOOKUP(C659,'CHAS - Cook Co'!$C$1:$J$2762,2,FALSE) - VLOOKUP(C659,'CHAS - Chicago'!$C$1:$J$2762,2,FALSE)</f>
        <v>11925</v>
      </c>
      <c r="E659" t="s">
        <v>373</v>
      </c>
      <c r="F659" s="71" t="s">
        <v>367</v>
      </c>
      <c r="G659" s="71" t="s">
        <v>1057</v>
      </c>
      <c r="H659" s="71" t="s">
        <v>388</v>
      </c>
      <c r="I659" s="71" t="s">
        <v>1062</v>
      </c>
    </row>
    <row r="660" spans="1:9" ht="43.5" x14ac:dyDescent="0.35">
      <c r="A660">
        <v>5</v>
      </c>
      <c r="B660">
        <v>11</v>
      </c>
      <c r="C660" t="s">
        <v>1068</v>
      </c>
      <c r="D660" s="64">
        <f>VLOOKUP(C660,'CHAS - Cook Co'!$C$1:$J$2762,2,FALSE) - VLOOKUP(C660,'CHAS - Chicago'!$C$1:$J$2762,2,FALSE)</f>
        <v>20635</v>
      </c>
      <c r="E660" t="s">
        <v>373</v>
      </c>
      <c r="F660" s="71" t="s">
        <v>367</v>
      </c>
      <c r="G660" s="71" t="s">
        <v>1057</v>
      </c>
      <c r="H660" s="71" t="s">
        <v>388</v>
      </c>
      <c r="I660" s="71" t="s">
        <v>1064</v>
      </c>
    </row>
    <row r="661" spans="1:9" ht="43.5" x14ac:dyDescent="0.35">
      <c r="A661">
        <v>5</v>
      </c>
      <c r="B661">
        <v>12</v>
      </c>
      <c r="C661" t="s">
        <v>1069</v>
      </c>
      <c r="D661" s="64">
        <f>VLOOKUP(C661,'CHAS - Cook Co'!$C$1:$J$2762,2,FALSE) - VLOOKUP(C661,'CHAS - Chicago'!$C$1:$J$2762,2,FALSE)</f>
        <v>51810</v>
      </c>
      <c r="E661" t="s">
        <v>366</v>
      </c>
      <c r="F661" s="71" t="s">
        <v>367</v>
      </c>
      <c r="G661" s="71" t="s">
        <v>1057</v>
      </c>
      <c r="H661" s="71" t="s">
        <v>397</v>
      </c>
      <c r="I661" s="71" t="s">
        <v>1054</v>
      </c>
    </row>
    <row r="662" spans="1:9" ht="43.5" x14ac:dyDescent="0.35">
      <c r="A662">
        <v>5</v>
      </c>
      <c r="B662">
        <v>13</v>
      </c>
      <c r="C662" t="s">
        <v>1070</v>
      </c>
      <c r="D662" s="64">
        <f>VLOOKUP(C662,'CHAS - Cook Co'!$C$1:$J$2762,2,FALSE) - VLOOKUP(C662,'CHAS - Chicago'!$C$1:$J$2762,2,FALSE)</f>
        <v>13115</v>
      </c>
      <c r="E662" t="s">
        <v>373</v>
      </c>
      <c r="F662" s="71" t="s">
        <v>367</v>
      </c>
      <c r="G662" s="71" t="s">
        <v>1057</v>
      </c>
      <c r="H662" s="71" t="s">
        <v>397</v>
      </c>
      <c r="I662" s="71" t="s">
        <v>1060</v>
      </c>
    </row>
    <row r="663" spans="1:9" ht="43.5" x14ac:dyDescent="0.35">
      <c r="A663">
        <v>5</v>
      </c>
      <c r="B663">
        <v>14</v>
      </c>
      <c r="C663" t="s">
        <v>1071</v>
      </c>
      <c r="D663" s="64">
        <f>VLOOKUP(C663,'CHAS - Cook Co'!$C$1:$J$2762,2,FALSE) - VLOOKUP(C663,'CHAS - Chicago'!$C$1:$J$2762,2,FALSE)</f>
        <v>5665</v>
      </c>
      <c r="E663" t="s">
        <v>373</v>
      </c>
      <c r="F663" s="71" t="s">
        <v>367</v>
      </c>
      <c r="G663" s="71" t="s">
        <v>1057</v>
      </c>
      <c r="H663" s="71" t="s">
        <v>397</v>
      </c>
      <c r="I663" s="71" t="s">
        <v>1062</v>
      </c>
    </row>
    <row r="664" spans="1:9" ht="43.5" x14ac:dyDescent="0.35">
      <c r="A664">
        <v>5</v>
      </c>
      <c r="B664">
        <v>15</v>
      </c>
      <c r="C664" t="s">
        <v>1072</v>
      </c>
      <c r="D664" s="64">
        <f>VLOOKUP(C664,'CHAS - Cook Co'!$C$1:$J$2762,2,FALSE) - VLOOKUP(C664,'CHAS - Chicago'!$C$1:$J$2762,2,FALSE)</f>
        <v>33030</v>
      </c>
      <c r="E664" t="s">
        <v>373</v>
      </c>
      <c r="F664" s="71" t="s">
        <v>367</v>
      </c>
      <c r="G664" s="71" t="s">
        <v>1057</v>
      </c>
      <c r="H664" s="71" t="s">
        <v>397</v>
      </c>
      <c r="I664" s="71" t="s">
        <v>1064</v>
      </c>
    </row>
    <row r="665" spans="1:9" ht="43.5" x14ac:dyDescent="0.35">
      <c r="A665">
        <v>5</v>
      </c>
      <c r="B665">
        <v>16</v>
      </c>
      <c r="C665" t="s">
        <v>1073</v>
      </c>
      <c r="D665" s="64">
        <f>VLOOKUP(C665,'CHAS - Cook Co'!$C$1:$J$2762,2,FALSE) - VLOOKUP(C665,'CHAS - Chicago'!$C$1:$J$2762,2,FALSE)</f>
        <v>22970</v>
      </c>
      <c r="E665" t="s">
        <v>366</v>
      </c>
      <c r="F665" s="71" t="s">
        <v>367</v>
      </c>
      <c r="G665" s="71" t="s">
        <v>1057</v>
      </c>
      <c r="H665" s="71" t="s">
        <v>406</v>
      </c>
      <c r="I665" s="71" t="s">
        <v>1054</v>
      </c>
    </row>
    <row r="666" spans="1:9" ht="43.5" x14ac:dyDescent="0.35">
      <c r="A666">
        <v>5</v>
      </c>
      <c r="B666">
        <v>17</v>
      </c>
      <c r="C666" t="s">
        <v>1074</v>
      </c>
      <c r="D666" s="64">
        <f>VLOOKUP(C666,'CHAS - Cook Co'!$C$1:$J$2762,2,FALSE) - VLOOKUP(C666,'CHAS - Chicago'!$C$1:$J$2762,2,FALSE)</f>
        <v>5930</v>
      </c>
      <c r="E666" t="s">
        <v>373</v>
      </c>
      <c r="F666" s="71" t="s">
        <v>367</v>
      </c>
      <c r="G666" s="71" t="s">
        <v>1057</v>
      </c>
      <c r="H666" s="71" t="s">
        <v>406</v>
      </c>
      <c r="I666" s="71" t="s">
        <v>1060</v>
      </c>
    </row>
    <row r="667" spans="1:9" ht="43.5" x14ac:dyDescent="0.35">
      <c r="A667">
        <v>5</v>
      </c>
      <c r="B667">
        <v>18</v>
      </c>
      <c r="C667" t="s">
        <v>1075</v>
      </c>
      <c r="D667" s="64">
        <f>VLOOKUP(C667,'CHAS - Cook Co'!$C$1:$J$2762,2,FALSE) - VLOOKUP(C667,'CHAS - Chicago'!$C$1:$J$2762,2,FALSE)</f>
        <v>1695</v>
      </c>
      <c r="E667" t="s">
        <v>373</v>
      </c>
      <c r="F667" s="71" t="s">
        <v>367</v>
      </c>
      <c r="G667" s="71" t="s">
        <v>1057</v>
      </c>
      <c r="H667" s="71" t="s">
        <v>406</v>
      </c>
      <c r="I667" s="71" t="s">
        <v>1062</v>
      </c>
    </row>
    <row r="668" spans="1:9" ht="43.5" x14ac:dyDescent="0.35">
      <c r="A668">
        <v>5</v>
      </c>
      <c r="B668">
        <v>19</v>
      </c>
      <c r="C668" t="s">
        <v>1076</v>
      </c>
      <c r="D668" s="64">
        <f>VLOOKUP(C668,'CHAS - Cook Co'!$C$1:$J$2762,2,FALSE) - VLOOKUP(C668,'CHAS - Chicago'!$C$1:$J$2762,2,FALSE)</f>
        <v>15340</v>
      </c>
      <c r="E668" t="s">
        <v>373</v>
      </c>
      <c r="F668" s="71" t="s">
        <v>367</v>
      </c>
      <c r="G668" s="71" t="s">
        <v>1057</v>
      </c>
      <c r="H668" s="71" t="s">
        <v>406</v>
      </c>
      <c r="I668" s="71" t="s">
        <v>1064</v>
      </c>
    </row>
    <row r="669" spans="1:9" ht="43.5" x14ac:dyDescent="0.35">
      <c r="A669">
        <v>5</v>
      </c>
      <c r="B669">
        <v>20</v>
      </c>
      <c r="C669" t="s">
        <v>1077</v>
      </c>
      <c r="D669" s="64">
        <f>VLOOKUP(C669,'CHAS - Cook Co'!$C$1:$J$2762,2,FALSE) - VLOOKUP(C669,'CHAS - Chicago'!$C$1:$J$2762,2,FALSE)</f>
        <v>36735</v>
      </c>
      <c r="E669" t="s">
        <v>366</v>
      </c>
      <c r="F669" s="71" t="s">
        <v>367</v>
      </c>
      <c r="G669" s="71" t="s">
        <v>1057</v>
      </c>
      <c r="H669" s="71" t="s">
        <v>415</v>
      </c>
      <c r="I669" s="71" t="s">
        <v>1054</v>
      </c>
    </row>
    <row r="670" spans="1:9" ht="43.5" x14ac:dyDescent="0.35">
      <c r="A670">
        <v>5</v>
      </c>
      <c r="B670">
        <v>21</v>
      </c>
      <c r="C670" t="s">
        <v>1078</v>
      </c>
      <c r="D670" s="64">
        <f>VLOOKUP(C670,'CHAS - Cook Co'!$C$1:$J$2762,2,FALSE) - VLOOKUP(C670,'CHAS - Chicago'!$C$1:$J$2762,2,FALSE)</f>
        <v>8910</v>
      </c>
      <c r="E670" t="s">
        <v>373</v>
      </c>
      <c r="F670" s="71" t="s">
        <v>367</v>
      </c>
      <c r="G670" s="71" t="s">
        <v>1057</v>
      </c>
      <c r="H670" s="71" t="s">
        <v>415</v>
      </c>
      <c r="I670" s="71" t="s">
        <v>1060</v>
      </c>
    </row>
    <row r="671" spans="1:9" ht="43.5" x14ac:dyDescent="0.35">
      <c r="A671">
        <v>5</v>
      </c>
      <c r="B671">
        <v>22</v>
      </c>
      <c r="C671" t="s">
        <v>1079</v>
      </c>
      <c r="D671" s="64">
        <f>VLOOKUP(C671,'CHAS - Cook Co'!$C$1:$J$2762,2,FALSE) - VLOOKUP(C671,'CHAS - Chicago'!$C$1:$J$2762,2,FALSE)</f>
        <v>2145</v>
      </c>
      <c r="E671" t="s">
        <v>373</v>
      </c>
      <c r="F671" s="71" t="s">
        <v>367</v>
      </c>
      <c r="G671" s="71" t="s">
        <v>1057</v>
      </c>
      <c r="H671" s="71" t="s">
        <v>415</v>
      </c>
      <c r="I671" s="71" t="s">
        <v>1062</v>
      </c>
    </row>
    <row r="672" spans="1:9" ht="43.5" x14ac:dyDescent="0.35">
      <c r="A672">
        <v>5</v>
      </c>
      <c r="B672">
        <v>23</v>
      </c>
      <c r="C672" t="s">
        <v>1080</v>
      </c>
      <c r="D672" s="64">
        <f>VLOOKUP(C672,'CHAS - Cook Co'!$C$1:$J$2762,2,FALSE) - VLOOKUP(C672,'CHAS - Chicago'!$C$1:$J$2762,2,FALSE)</f>
        <v>25680</v>
      </c>
      <c r="E672" t="s">
        <v>373</v>
      </c>
      <c r="F672" s="71" t="s">
        <v>367</v>
      </c>
      <c r="G672" s="71" t="s">
        <v>1057</v>
      </c>
      <c r="H672" s="71" t="s">
        <v>415</v>
      </c>
      <c r="I672" s="71" t="s">
        <v>1064</v>
      </c>
    </row>
    <row r="673" spans="1:9" ht="29" x14ac:dyDescent="0.35">
      <c r="A673">
        <v>5</v>
      </c>
      <c r="B673">
        <v>24</v>
      </c>
      <c r="C673" t="s">
        <v>1081</v>
      </c>
      <c r="D673" s="64">
        <f>VLOOKUP(C673,'CHAS - Cook Co'!$C$1:$J$2762,2,FALSE) - VLOOKUP(C673,'CHAS - Chicago'!$C$1:$J$2762,2,FALSE)</f>
        <v>435775</v>
      </c>
      <c r="E673" t="s">
        <v>366</v>
      </c>
      <c r="F673" s="71" t="s">
        <v>367</v>
      </c>
      <c r="G673" s="71" t="s">
        <v>1082</v>
      </c>
      <c r="H673" s="71" t="s">
        <v>363</v>
      </c>
      <c r="I673" s="71" t="s">
        <v>1054</v>
      </c>
    </row>
    <row r="674" spans="1:9" ht="29" x14ac:dyDescent="0.35">
      <c r="A674">
        <v>5</v>
      </c>
      <c r="B674">
        <v>25</v>
      </c>
      <c r="C674" t="s">
        <v>1083</v>
      </c>
      <c r="D674" s="64">
        <f>VLOOKUP(C674,'CHAS - Cook Co'!$C$1:$J$2762,2,FALSE) - VLOOKUP(C674,'CHAS - Chicago'!$C$1:$J$2762,2,FALSE)</f>
        <v>4085</v>
      </c>
      <c r="E674" t="s">
        <v>366</v>
      </c>
      <c r="F674" s="71" t="s">
        <v>367</v>
      </c>
      <c r="G674" s="71" t="s">
        <v>1082</v>
      </c>
      <c r="H674" s="71" t="s">
        <v>371</v>
      </c>
      <c r="I674" s="71" t="s">
        <v>1054</v>
      </c>
    </row>
    <row r="675" spans="1:9" ht="43.5" x14ac:dyDescent="0.35">
      <c r="A675">
        <v>5</v>
      </c>
      <c r="B675">
        <v>26</v>
      </c>
      <c r="C675" t="s">
        <v>1084</v>
      </c>
      <c r="D675" s="64">
        <f>VLOOKUP(C675,'CHAS - Cook Co'!$C$1:$J$2762,2,FALSE) - VLOOKUP(C675,'CHAS - Chicago'!$C$1:$J$2762,2,FALSE)</f>
        <v>870</v>
      </c>
      <c r="E675" t="s">
        <v>373</v>
      </c>
      <c r="F675" s="71" t="s">
        <v>367</v>
      </c>
      <c r="G675" s="71" t="s">
        <v>1082</v>
      </c>
      <c r="H675" s="71" t="s">
        <v>371</v>
      </c>
      <c r="I675" s="71" t="s">
        <v>1060</v>
      </c>
    </row>
    <row r="676" spans="1:9" ht="29" x14ac:dyDescent="0.35">
      <c r="A676">
        <v>5</v>
      </c>
      <c r="B676">
        <v>27</v>
      </c>
      <c r="C676" t="s">
        <v>1085</v>
      </c>
      <c r="D676" s="64">
        <f>VLOOKUP(C676,'CHAS - Cook Co'!$C$1:$J$2762,2,FALSE) - VLOOKUP(C676,'CHAS - Chicago'!$C$1:$J$2762,2,FALSE)</f>
        <v>2460</v>
      </c>
      <c r="E676" t="s">
        <v>373</v>
      </c>
      <c r="F676" s="71" t="s">
        <v>367</v>
      </c>
      <c r="G676" s="71" t="s">
        <v>1082</v>
      </c>
      <c r="H676" s="71" t="s">
        <v>371</v>
      </c>
      <c r="I676" s="71" t="s">
        <v>1062</v>
      </c>
    </row>
    <row r="677" spans="1:9" ht="29" x14ac:dyDescent="0.35">
      <c r="A677">
        <v>5</v>
      </c>
      <c r="B677">
        <v>28</v>
      </c>
      <c r="C677" t="s">
        <v>1086</v>
      </c>
      <c r="D677" s="64">
        <f>VLOOKUP(C677,'CHAS - Cook Co'!$C$1:$J$2762,2,FALSE) - VLOOKUP(C677,'CHAS - Chicago'!$C$1:$J$2762,2,FALSE)</f>
        <v>760</v>
      </c>
      <c r="E677" t="s">
        <v>373</v>
      </c>
      <c r="F677" s="71" t="s">
        <v>367</v>
      </c>
      <c r="G677" s="71" t="s">
        <v>1082</v>
      </c>
      <c r="H677" s="71" t="s">
        <v>371</v>
      </c>
      <c r="I677" s="71" t="s">
        <v>1064</v>
      </c>
    </row>
    <row r="678" spans="1:9" ht="43.5" x14ac:dyDescent="0.35">
      <c r="A678">
        <v>5</v>
      </c>
      <c r="B678">
        <v>29</v>
      </c>
      <c r="C678" t="s">
        <v>1087</v>
      </c>
      <c r="D678" s="64">
        <f>VLOOKUP(C678,'CHAS - Cook Co'!$C$1:$J$2762,2,FALSE) - VLOOKUP(C678,'CHAS - Chicago'!$C$1:$J$2762,2,FALSE)</f>
        <v>19490</v>
      </c>
      <c r="E678" t="s">
        <v>366</v>
      </c>
      <c r="F678" s="71" t="s">
        <v>367</v>
      </c>
      <c r="G678" s="71" t="s">
        <v>1082</v>
      </c>
      <c r="H678" s="71" t="s">
        <v>388</v>
      </c>
      <c r="I678" s="71" t="s">
        <v>1054</v>
      </c>
    </row>
    <row r="679" spans="1:9" ht="43.5" x14ac:dyDescent="0.35">
      <c r="A679">
        <v>5</v>
      </c>
      <c r="B679">
        <v>30</v>
      </c>
      <c r="C679" t="s">
        <v>1088</v>
      </c>
      <c r="D679" s="64">
        <f>VLOOKUP(C679,'CHAS - Cook Co'!$C$1:$J$2762,2,FALSE) - VLOOKUP(C679,'CHAS - Chicago'!$C$1:$J$2762,2,FALSE)</f>
        <v>4650</v>
      </c>
      <c r="E679" t="s">
        <v>373</v>
      </c>
      <c r="F679" s="71" t="s">
        <v>367</v>
      </c>
      <c r="G679" s="71" t="s">
        <v>1082</v>
      </c>
      <c r="H679" s="71" t="s">
        <v>388</v>
      </c>
      <c r="I679" s="71" t="s">
        <v>1060</v>
      </c>
    </row>
    <row r="680" spans="1:9" ht="43.5" x14ac:dyDescent="0.35">
      <c r="A680">
        <v>5</v>
      </c>
      <c r="B680">
        <v>31</v>
      </c>
      <c r="C680" t="s">
        <v>1089</v>
      </c>
      <c r="D680" s="64">
        <f>VLOOKUP(C680,'CHAS - Cook Co'!$C$1:$J$2762,2,FALSE) - VLOOKUP(C680,'CHAS - Chicago'!$C$1:$J$2762,2,FALSE)</f>
        <v>9875</v>
      </c>
      <c r="E680" t="s">
        <v>373</v>
      </c>
      <c r="F680" s="71" t="s">
        <v>367</v>
      </c>
      <c r="G680" s="71" t="s">
        <v>1082</v>
      </c>
      <c r="H680" s="71" t="s">
        <v>388</v>
      </c>
      <c r="I680" s="71" t="s">
        <v>1062</v>
      </c>
    </row>
    <row r="681" spans="1:9" ht="43.5" x14ac:dyDescent="0.35">
      <c r="A681">
        <v>5</v>
      </c>
      <c r="B681">
        <v>32</v>
      </c>
      <c r="C681" t="s">
        <v>1090</v>
      </c>
      <c r="D681" s="64">
        <f>VLOOKUP(C681,'CHAS - Cook Co'!$C$1:$J$2762,2,FALSE) - VLOOKUP(C681,'CHAS - Chicago'!$C$1:$J$2762,2,FALSE)</f>
        <v>4965</v>
      </c>
      <c r="E681" t="s">
        <v>373</v>
      </c>
      <c r="F681" s="71" t="s">
        <v>367</v>
      </c>
      <c r="G681" s="71" t="s">
        <v>1082</v>
      </c>
      <c r="H681" s="71" t="s">
        <v>388</v>
      </c>
      <c r="I681" s="71" t="s">
        <v>1064</v>
      </c>
    </row>
    <row r="682" spans="1:9" ht="43.5" x14ac:dyDescent="0.35">
      <c r="A682">
        <v>5</v>
      </c>
      <c r="B682">
        <v>33</v>
      </c>
      <c r="C682" t="s">
        <v>1091</v>
      </c>
      <c r="D682" s="64">
        <f>VLOOKUP(C682,'CHAS - Cook Co'!$C$1:$J$2762,2,FALSE) - VLOOKUP(C682,'CHAS - Chicago'!$C$1:$J$2762,2,FALSE)</f>
        <v>51085</v>
      </c>
      <c r="E682" t="s">
        <v>366</v>
      </c>
      <c r="F682" s="71" t="s">
        <v>367</v>
      </c>
      <c r="G682" s="71" t="s">
        <v>1082</v>
      </c>
      <c r="H682" s="71" t="s">
        <v>397</v>
      </c>
      <c r="I682" s="71" t="s">
        <v>1054</v>
      </c>
    </row>
    <row r="683" spans="1:9" ht="43.5" x14ac:dyDescent="0.35">
      <c r="A683">
        <v>5</v>
      </c>
      <c r="B683">
        <v>34</v>
      </c>
      <c r="C683" t="s">
        <v>1092</v>
      </c>
      <c r="D683" s="64">
        <f>VLOOKUP(C683,'CHAS - Cook Co'!$C$1:$J$2762,2,FALSE) - VLOOKUP(C683,'CHAS - Chicago'!$C$1:$J$2762,2,FALSE)</f>
        <v>15905</v>
      </c>
      <c r="E683" t="s">
        <v>373</v>
      </c>
      <c r="F683" s="71" t="s">
        <v>367</v>
      </c>
      <c r="G683" s="71" t="s">
        <v>1082</v>
      </c>
      <c r="H683" s="71" t="s">
        <v>397</v>
      </c>
      <c r="I683" s="71" t="s">
        <v>1060</v>
      </c>
    </row>
    <row r="684" spans="1:9" ht="43.5" x14ac:dyDescent="0.35">
      <c r="A684">
        <v>5</v>
      </c>
      <c r="B684">
        <v>35</v>
      </c>
      <c r="C684" t="s">
        <v>1093</v>
      </c>
      <c r="D684" s="64">
        <f>VLOOKUP(C684,'CHAS - Cook Co'!$C$1:$J$2762,2,FALSE) - VLOOKUP(C684,'CHAS - Chicago'!$C$1:$J$2762,2,FALSE)</f>
        <v>14615</v>
      </c>
      <c r="E684" t="s">
        <v>373</v>
      </c>
      <c r="F684" s="71" t="s">
        <v>367</v>
      </c>
      <c r="G684" s="71" t="s">
        <v>1082</v>
      </c>
      <c r="H684" s="71" t="s">
        <v>397</v>
      </c>
      <c r="I684" s="71" t="s">
        <v>1062</v>
      </c>
    </row>
    <row r="685" spans="1:9" ht="43.5" x14ac:dyDescent="0.35">
      <c r="A685">
        <v>5</v>
      </c>
      <c r="B685">
        <v>36</v>
      </c>
      <c r="C685" t="s">
        <v>1094</v>
      </c>
      <c r="D685" s="64">
        <f>VLOOKUP(C685,'CHAS - Cook Co'!$C$1:$J$2762,2,FALSE) - VLOOKUP(C685,'CHAS - Chicago'!$C$1:$J$2762,2,FALSE)</f>
        <v>20570</v>
      </c>
      <c r="E685" t="s">
        <v>373</v>
      </c>
      <c r="F685" s="71" t="s">
        <v>367</v>
      </c>
      <c r="G685" s="71" t="s">
        <v>1082</v>
      </c>
      <c r="H685" s="71" t="s">
        <v>397</v>
      </c>
      <c r="I685" s="71" t="s">
        <v>1064</v>
      </c>
    </row>
    <row r="686" spans="1:9" ht="43.5" x14ac:dyDescent="0.35">
      <c r="A686">
        <v>5</v>
      </c>
      <c r="B686">
        <v>37</v>
      </c>
      <c r="C686" t="s">
        <v>1095</v>
      </c>
      <c r="D686" s="64">
        <f>VLOOKUP(C686,'CHAS - Cook Co'!$C$1:$J$2762,2,FALSE) - VLOOKUP(C686,'CHAS - Chicago'!$C$1:$J$2762,2,FALSE)</f>
        <v>46245</v>
      </c>
      <c r="E686" t="s">
        <v>366</v>
      </c>
      <c r="F686" s="71" t="s">
        <v>367</v>
      </c>
      <c r="G686" s="71" t="s">
        <v>1082</v>
      </c>
      <c r="H686" s="71" t="s">
        <v>406</v>
      </c>
      <c r="I686" s="71" t="s">
        <v>1054</v>
      </c>
    </row>
    <row r="687" spans="1:9" ht="43.5" x14ac:dyDescent="0.35">
      <c r="A687">
        <v>5</v>
      </c>
      <c r="B687">
        <v>38</v>
      </c>
      <c r="C687" t="s">
        <v>1096</v>
      </c>
      <c r="D687" s="64">
        <f>VLOOKUP(C687,'CHAS - Cook Co'!$C$1:$J$2762,2,FALSE) - VLOOKUP(C687,'CHAS - Chicago'!$C$1:$J$2762,2,FALSE)</f>
        <v>12845</v>
      </c>
      <c r="E687" t="s">
        <v>373</v>
      </c>
      <c r="F687" s="71" t="s">
        <v>367</v>
      </c>
      <c r="G687" s="71" t="s">
        <v>1082</v>
      </c>
      <c r="H687" s="71" t="s">
        <v>406</v>
      </c>
      <c r="I687" s="71" t="s">
        <v>1060</v>
      </c>
    </row>
    <row r="688" spans="1:9" ht="43.5" x14ac:dyDescent="0.35">
      <c r="A688">
        <v>5</v>
      </c>
      <c r="B688">
        <v>39</v>
      </c>
      <c r="C688" t="s">
        <v>1097</v>
      </c>
      <c r="D688" s="64">
        <f>VLOOKUP(C688,'CHAS - Cook Co'!$C$1:$J$2762,2,FALSE) - VLOOKUP(C688,'CHAS - Chicago'!$C$1:$J$2762,2,FALSE)</f>
        <v>8315</v>
      </c>
      <c r="E688" t="s">
        <v>373</v>
      </c>
      <c r="F688" s="71" t="s">
        <v>367</v>
      </c>
      <c r="G688" s="71" t="s">
        <v>1082</v>
      </c>
      <c r="H688" s="71" t="s">
        <v>406</v>
      </c>
      <c r="I688" s="71" t="s">
        <v>1062</v>
      </c>
    </row>
    <row r="689" spans="1:9" ht="43.5" x14ac:dyDescent="0.35">
      <c r="A689">
        <v>5</v>
      </c>
      <c r="B689">
        <v>40</v>
      </c>
      <c r="C689" t="s">
        <v>1098</v>
      </c>
      <c r="D689" s="64">
        <f>VLOOKUP(C689,'CHAS - Cook Co'!$C$1:$J$2762,2,FALSE) - VLOOKUP(C689,'CHAS - Chicago'!$C$1:$J$2762,2,FALSE)</f>
        <v>25085</v>
      </c>
      <c r="E689" t="s">
        <v>373</v>
      </c>
      <c r="F689" s="71" t="s">
        <v>367</v>
      </c>
      <c r="G689" s="71" t="s">
        <v>1082</v>
      </c>
      <c r="H689" s="71" t="s">
        <v>406</v>
      </c>
      <c r="I689" s="71" t="s">
        <v>1064</v>
      </c>
    </row>
    <row r="690" spans="1:9" ht="29" x14ac:dyDescent="0.35">
      <c r="A690">
        <v>5</v>
      </c>
      <c r="B690">
        <v>41</v>
      </c>
      <c r="C690" t="s">
        <v>1099</v>
      </c>
      <c r="D690" s="64">
        <f>VLOOKUP(C690,'CHAS - Cook Co'!$C$1:$J$2762,2,FALSE) - VLOOKUP(C690,'CHAS - Chicago'!$C$1:$J$2762,2,FALSE)</f>
        <v>314870</v>
      </c>
      <c r="E690" t="s">
        <v>366</v>
      </c>
      <c r="F690" s="71" t="s">
        <v>367</v>
      </c>
      <c r="G690" s="71" t="s">
        <v>1082</v>
      </c>
      <c r="H690" s="71" t="s">
        <v>415</v>
      </c>
      <c r="I690" s="71" t="s">
        <v>1054</v>
      </c>
    </row>
    <row r="691" spans="1:9" ht="43.5" x14ac:dyDescent="0.35">
      <c r="A691">
        <v>5</v>
      </c>
      <c r="B691">
        <v>42</v>
      </c>
      <c r="C691" t="s">
        <v>1100</v>
      </c>
      <c r="D691" s="64">
        <f>VLOOKUP(C691,'CHAS - Cook Co'!$C$1:$J$2762,2,FALSE) - VLOOKUP(C691,'CHAS - Chicago'!$C$1:$J$2762,2,FALSE)</f>
        <v>77310</v>
      </c>
      <c r="E691" t="s">
        <v>373</v>
      </c>
      <c r="F691" s="71" t="s">
        <v>367</v>
      </c>
      <c r="G691" s="71" t="s">
        <v>1082</v>
      </c>
      <c r="H691" s="71" t="s">
        <v>415</v>
      </c>
      <c r="I691" s="71" t="s">
        <v>1060</v>
      </c>
    </row>
    <row r="692" spans="1:9" ht="29" x14ac:dyDescent="0.35">
      <c r="A692">
        <v>5</v>
      </c>
      <c r="B692">
        <v>43</v>
      </c>
      <c r="C692" t="s">
        <v>1101</v>
      </c>
      <c r="D692" s="64">
        <f>VLOOKUP(C692,'CHAS - Cook Co'!$C$1:$J$2762,2,FALSE) - VLOOKUP(C692,'CHAS - Chicago'!$C$1:$J$2762,2,FALSE)</f>
        <v>25610</v>
      </c>
      <c r="E692" t="s">
        <v>373</v>
      </c>
      <c r="F692" s="71" t="s">
        <v>367</v>
      </c>
      <c r="G692" s="71" t="s">
        <v>1082</v>
      </c>
      <c r="H692" s="71" t="s">
        <v>415</v>
      </c>
      <c r="I692" s="71" t="s">
        <v>1062</v>
      </c>
    </row>
    <row r="693" spans="1:9" ht="29" x14ac:dyDescent="0.35">
      <c r="A693">
        <v>5</v>
      </c>
      <c r="B693">
        <v>44</v>
      </c>
      <c r="C693" t="s">
        <v>1102</v>
      </c>
      <c r="D693" s="64">
        <f>VLOOKUP(C693,'CHAS - Cook Co'!$C$1:$J$2762,2,FALSE) - VLOOKUP(C693,'CHAS - Chicago'!$C$1:$J$2762,2,FALSE)</f>
        <v>211950</v>
      </c>
      <c r="E693" t="s">
        <v>373</v>
      </c>
      <c r="F693" s="71" t="s">
        <v>367</v>
      </c>
      <c r="G693" s="71" t="s">
        <v>1082</v>
      </c>
      <c r="H693" s="71" t="s">
        <v>415</v>
      </c>
      <c r="I693" s="71" t="s">
        <v>1064</v>
      </c>
    </row>
    <row r="694" spans="1:9" ht="58" x14ac:dyDescent="0.35">
      <c r="A694">
        <v>5</v>
      </c>
      <c r="B694">
        <v>45</v>
      </c>
      <c r="C694" t="s">
        <v>1103</v>
      </c>
      <c r="D694" s="64">
        <f>VLOOKUP(C694,'CHAS - Cook Co'!$C$1:$J$2762,2,FALSE) - VLOOKUP(C694,'CHAS - Chicago'!$C$1:$J$2762,2,FALSE)</f>
        <v>5515</v>
      </c>
      <c r="E694" t="s">
        <v>366</v>
      </c>
      <c r="F694" s="71" t="s">
        <v>367</v>
      </c>
      <c r="G694" s="71" t="s">
        <v>1013</v>
      </c>
      <c r="H694" s="71" t="s">
        <v>363</v>
      </c>
      <c r="I694" s="71" t="s">
        <v>1054</v>
      </c>
    </row>
    <row r="695" spans="1:9" ht="58" x14ac:dyDescent="0.35">
      <c r="A695">
        <v>5</v>
      </c>
      <c r="B695">
        <v>46</v>
      </c>
      <c r="C695" t="s">
        <v>1104</v>
      </c>
      <c r="D695" s="64">
        <f>VLOOKUP(C695,'CHAS - Cook Co'!$C$1:$J$2762,2,FALSE) - VLOOKUP(C695,'CHAS - Chicago'!$C$1:$J$2762,2,FALSE)</f>
        <v>5515</v>
      </c>
      <c r="E695" t="s">
        <v>366</v>
      </c>
      <c r="F695" s="71" t="s">
        <v>367</v>
      </c>
      <c r="G695" s="71" t="s">
        <v>1013</v>
      </c>
      <c r="H695" s="71" t="s">
        <v>371</v>
      </c>
      <c r="I695" s="71" t="s">
        <v>1054</v>
      </c>
    </row>
    <row r="696" spans="1:9" ht="58" x14ac:dyDescent="0.35">
      <c r="A696">
        <v>5</v>
      </c>
      <c r="B696">
        <v>47</v>
      </c>
      <c r="C696" t="s">
        <v>1105</v>
      </c>
      <c r="D696" s="64">
        <f>VLOOKUP(C696,'CHAS - Cook Co'!$C$1:$J$2762,2,FALSE) - VLOOKUP(C696,'CHAS - Chicago'!$C$1:$J$2762,2,FALSE)</f>
        <v>995</v>
      </c>
      <c r="E696" t="s">
        <v>373</v>
      </c>
      <c r="F696" s="71" t="s">
        <v>367</v>
      </c>
      <c r="G696" s="71" t="s">
        <v>1013</v>
      </c>
      <c r="H696" s="71" t="s">
        <v>371</v>
      </c>
      <c r="I696" s="71" t="s">
        <v>1060</v>
      </c>
    </row>
    <row r="697" spans="1:9" ht="58" x14ac:dyDescent="0.35">
      <c r="A697">
        <v>5</v>
      </c>
      <c r="B697">
        <v>48</v>
      </c>
      <c r="C697" t="s">
        <v>1106</v>
      </c>
      <c r="D697" s="64">
        <f>VLOOKUP(C697,'CHAS - Cook Co'!$C$1:$J$2762,2,FALSE) - VLOOKUP(C697,'CHAS - Chicago'!$C$1:$J$2762,2,FALSE)</f>
        <v>1105</v>
      </c>
      <c r="E697" t="s">
        <v>373</v>
      </c>
      <c r="F697" s="71" t="s">
        <v>367</v>
      </c>
      <c r="G697" s="71" t="s">
        <v>1013</v>
      </c>
      <c r="H697" s="71" t="s">
        <v>371</v>
      </c>
      <c r="I697" s="71" t="s">
        <v>1062</v>
      </c>
    </row>
    <row r="698" spans="1:9" ht="58" x14ac:dyDescent="0.35">
      <c r="A698">
        <v>5</v>
      </c>
      <c r="B698">
        <v>49</v>
      </c>
      <c r="C698" t="s">
        <v>1107</v>
      </c>
      <c r="D698" s="64">
        <f>VLOOKUP(C698,'CHAS - Cook Co'!$C$1:$J$2762,2,FALSE) - VLOOKUP(C698,'CHAS - Chicago'!$C$1:$J$2762,2,FALSE)</f>
        <v>3410</v>
      </c>
      <c r="E698" t="s">
        <v>373</v>
      </c>
      <c r="F698" s="71" t="s">
        <v>367</v>
      </c>
      <c r="G698" s="71" t="s">
        <v>1013</v>
      </c>
      <c r="H698" s="71" t="s">
        <v>371</v>
      </c>
      <c r="I698" s="71" t="s">
        <v>1064</v>
      </c>
    </row>
    <row r="699" spans="1:9" ht="58" x14ac:dyDescent="0.35">
      <c r="A699">
        <v>5</v>
      </c>
      <c r="B699">
        <v>50</v>
      </c>
      <c r="C699" t="s">
        <v>1108</v>
      </c>
      <c r="D699" s="64">
        <f>VLOOKUP(C699,'CHAS - Cook Co'!$C$1:$J$2762,2,FALSE) - VLOOKUP(C699,'CHAS - Chicago'!$C$1:$J$2762,2,FALSE)</f>
        <v>0</v>
      </c>
      <c r="E699" t="s">
        <v>366</v>
      </c>
      <c r="F699" s="71" t="s">
        <v>367</v>
      </c>
      <c r="G699" s="71" t="s">
        <v>1013</v>
      </c>
      <c r="H699" s="71" t="s">
        <v>388</v>
      </c>
      <c r="I699" s="71" t="s">
        <v>1054</v>
      </c>
    </row>
    <row r="700" spans="1:9" ht="58" x14ac:dyDescent="0.35">
      <c r="A700">
        <v>5</v>
      </c>
      <c r="B700">
        <v>51</v>
      </c>
      <c r="C700" t="s">
        <v>1109</v>
      </c>
      <c r="D700" s="64">
        <f>VLOOKUP(C700,'CHAS - Cook Co'!$C$1:$J$2762,2,FALSE) - VLOOKUP(C700,'CHAS - Chicago'!$C$1:$J$2762,2,FALSE)</f>
        <v>0</v>
      </c>
      <c r="E700" t="s">
        <v>373</v>
      </c>
      <c r="F700" s="71" t="s">
        <v>367</v>
      </c>
      <c r="G700" s="71" t="s">
        <v>1013</v>
      </c>
      <c r="H700" s="71" t="s">
        <v>388</v>
      </c>
      <c r="I700" s="71" t="s">
        <v>1060</v>
      </c>
    </row>
    <row r="701" spans="1:9" ht="58" x14ac:dyDescent="0.35">
      <c r="A701">
        <v>5</v>
      </c>
      <c r="B701">
        <v>52</v>
      </c>
      <c r="C701" t="s">
        <v>1110</v>
      </c>
      <c r="D701" s="64">
        <f>VLOOKUP(C701,'CHAS - Cook Co'!$C$1:$J$2762,2,FALSE) - VLOOKUP(C701,'CHAS - Chicago'!$C$1:$J$2762,2,FALSE)</f>
        <v>0</v>
      </c>
      <c r="E701" t="s">
        <v>373</v>
      </c>
      <c r="F701" s="71" t="s">
        <v>367</v>
      </c>
      <c r="G701" s="71" t="s">
        <v>1013</v>
      </c>
      <c r="H701" s="71" t="s">
        <v>388</v>
      </c>
      <c r="I701" s="71" t="s">
        <v>1062</v>
      </c>
    </row>
    <row r="702" spans="1:9" ht="58" x14ac:dyDescent="0.35">
      <c r="A702">
        <v>5</v>
      </c>
      <c r="B702">
        <v>53</v>
      </c>
      <c r="C702" t="s">
        <v>1111</v>
      </c>
      <c r="D702" s="64">
        <f>VLOOKUP(C702,'CHAS - Cook Co'!$C$1:$J$2762,2,FALSE) - VLOOKUP(C702,'CHAS - Chicago'!$C$1:$J$2762,2,FALSE)</f>
        <v>0</v>
      </c>
      <c r="E702" t="s">
        <v>373</v>
      </c>
      <c r="F702" s="71" t="s">
        <v>367</v>
      </c>
      <c r="G702" s="71" t="s">
        <v>1013</v>
      </c>
      <c r="H702" s="71" t="s">
        <v>388</v>
      </c>
      <c r="I702" s="71" t="s">
        <v>1064</v>
      </c>
    </row>
    <row r="703" spans="1:9" ht="58" x14ac:dyDescent="0.35">
      <c r="A703">
        <v>5</v>
      </c>
      <c r="B703">
        <v>54</v>
      </c>
      <c r="C703" t="s">
        <v>1112</v>
      </c>
      <c r="D703" s="64">
        <f>VLOOKUP(C703,'CHAS - Cook Co'!$C$1:$J$2762,2,FALSE) - VLOOKUP(C703,'CHAS - Chicago'!$C$1:$J$2762,2,FALSE)</f>
        <v>0</v>
      </c>
      <c r="E703" t="s">
        <v>366</v>
      </c>
      <c r="F703" s="71" t="s">
        <v>367</v>
      </c>
      <c r="G703" s="71" t="s">
        <v>1013</v>
      </c>
      <c r="H703" s="71" t="s">
        <v>397</v>
      </c>
      <c r="I703" s="71" t="s">
        <v>1054</v>
      </c>
    </row>
    <row r="704" spans="1:9" ht="58" x14ac:dyDescent="0.35">
      <c r="A704">
        <v>5</v>
      </c>
      <c r="B704">
        <v>55</v>
      </c>
      <c r="C704" t="s">
        <v>1113</v>
      </c>
      <c r="D704" s="64">
        <f>VLOOKUP(C704,'CHAS - Cook Co'!$C$1:$J$2762,2,FALSE) - VLOOKUP(C704,'CHAS - Chicago'!$C$1:$J$2762,2,FALSE)</f>
        <v>0</v>
      </c>
      <c r="E704" t="s">
        <v>373</v>
      </c>
      <c r="F704" s="71" t="s">
        <v>367</v>
      </c>
      <c r="G704" s="71" t="s">
        <v>1013</v>
      </c>
      <c r="H704" s="71" t="s">
        <v>397</v>
      </c>
      <c r="I704" s="71" t="s">
        <v>1060</v>
      </c>
    </row>
    <row r="705" spans="1:9" ht="58" x14ac:dyDescent="0.35">
      <c r="A705">
        <v>5</v>
      </c>
      <c r="B705">
        <v>56</v>
      </c>
      <c r="C705" t="s">
        <v>1114</v>
      </c>
      <c r="D705" s="64">
        <f>VLOOKUP(C705,'CHAS - Cook Co'!$C$1:$J$2762,2,FALSE) - VLOOKUP(C705,'CHAS - Chicago'!$C$1:$J$2762,2,FALSE)</f>
        <v>0</v>
      </c>
      <c r="E705" t="s">
        <v>373</v>
      </c>
      <c r="F705" s="71" t="s">
        <v>367</v>
      </c>
      <c r="G705" s="71" t="s">
        <v>1013</v>
      </c>
      <c r="H705" s="71" t="s">
        <v>397</v>
      </c>
      <c r="I705" s="71" t="s">
        <v>1062</v>
      </c>
    </row>
    <row r="706" spans="1:9" ht="58" x14ac:dyDescent="0.35">
      <c r="A706">
        <v>5</v>
      </c>
      <c r="B706">
        <v>57</v>
      </c>
      <c r="C706" t="s">
        <v>1115</v>
      </c>
      <c r="D706" s="64">
        <f>VLOOKUP(C706,'CHAS - Cook Co'!$C$1:$J$2762,2,FALSE) - VLOOKUP(C706,'CHAS - Chicago'!$C$1:$J$2762,2,FALSE)</f>
        <v>0</v>
      </c>
      <c r="E706" t="s">
        <v>373</v>
      </c>
      <c r="F706" s="71" t="s">
        <v>367</v>
      </c>
      <c r="G706" s="71" t="s">
        <v>1013</v>
      </c>
      <c r="H706" s="71" t="s">
        <v>397</v>
      </c>
      <c r="I706" s="71" t="s">
        <v>1064</v>
      </c>
    </row>
    <row r="707" spans="1:9" ht="58" x14ac:dyDescent="0.35">
      <c r="A707">
        <v>5</v>
      </c>
      <c r="B707">
        <v>58</v>
      </c>
      <c r="C707" t="s">
        <v>1116</v>
      </c>
      <c r="D707" s="64">
        <f>VLOOKUP(C707,'CHAS - Cook Co'!$C$1:$J$2762,2,FALSE) - VLOOKUP(C707,'CHAS - Chicago'!$C$1:$J$2762,2,FALSE)</f>
        <v>0</v>
      </c>
      <c r="E707" t="s">
        <v>366</v>
      </c>
      <c r="F707" s="71" t="s">
        <v>367</v>
      </c>
      <c r="G707" s="71" t="s">
        <v>1013</v>
      </c>
      <c r="H707" s="71" t="s">
        <v>406</v>
      </c>
      <c r="I707" s="71" t="s">
        <v>1054</v>
      </c>
    </row>
    <row r="708" spans="1:9" ht="58" x14ac:dyDescent="0.35">
      <c r="A708">
        <v>5</v>
      </c>
      <c r="B708">
        <v>59</v>
      </c>
      <c r="C708" t="s">
        <v>1117</v>
      </c>
      <c r="D708" s="64">
        <f>VLOOKUP(C708,'CHAS - Cook Co'!$C$1:$J$2762,2,FALSE) - VLOOKUP(C708,'CHAS - Chicago'!$C$1:$J$2762,2,FALSE)</f>
        <v>0</v>
      </c>
      <c r="E708" t="s">
        <v>373</v>
      </c>
      <c r="F708" s="71" t="s">
        <v>367</v>
      </c>
      <c r="G708" s="71" t="s">
        <v>1013</v>
      </c>
      <c r="H708" s="71" t="s">
        <v>406</v>
      </c>
      <c r="I708" s="71" t="s">
        <v>1060</v>
      </c>
    </row>
    <row r="709" spans="1:9" ht="58" x14ac:dyDescent="0.35">
      <c r="A709">
        <v>5</v>
      </c>
      <c r="B709">
        <v>60</v>
      </c>
      <c r="C709" t="s">
        <v>1118</v>
      </c>
      <c r="D709" s="64">
        <f>VLOOKUP(C709,'CHAS - Cook Co'!$C$1:$J$2762,2,FALSE) - VLOOKUP(C709,'CHAS - Chicago'!$C$1:$J$2762,2,FALSE)</f>
        <v>0</v>
      </c>
      <c r="E709" t="s">
        <v>373</v>
      </c>
      <c r="F709" s="71" t="s">
        <v>367</v>
      </c>
      <c r="G709" s="71" t="s">
        <v>1013</v>
      </c>
      <c r="H709" s="71" t="s">
        <v>406</v>
      </c>
      <c r="I709" s="71" t="s">
        <v>1062</v>
      </c>
    </row>
    <row r="710" spans="1:9" ht="58" x14ac:dyDescent="0.35">
      <c r="A710">
        <v>5</v>
      </c>
      <c r="B710">
        <v>61</v>
      </c>
      <c r="C710" t="s">
        <v>1119</v>
      </c>
      <c r="D710" s="64">
        <f>VLOOKUP(C710,'CHAS - Cook Co'!$C$1:$J$2762,2,FALSE) - VLOOKUP(C710,'CHAS - Chicago'!$C$1:$J$2762,2,FALSE)</f>
        <v>0</v>
      </c>
      <c r="E710" t="s">
        <v>373</v>
      </c>
      <c r="F710" s="71" t="s">
        <v>367</v>
      </c>
      <c r="G710" s="71" t="s">
        <v>1013</v>
      </c>
      <c r="H710" s="71" t="s">
        <v>406</v>
      </c>
      <c r="I710" s="71" t="s">
        <v>1064</v>
      </c>
    </row>
    <row r="711" spans="1:9" ht="58" x14ac:dyDescent="0.35">
      <c r="A711">
        <v>5</v>
      </c>
      <c r="B711">
        <v>62</v>
      </c>
      <c r="C711" t="s">
        <v>1120</v>
      </c>
      <c r="D711" s="64">
        <f>VLOOKUP(C711,'CHAS - Cook Co'!$C$1:$J$2762,2,FALSE) - VLOOKUP(C711,'CHAS - Chicago'!$C$1:$J$2762,2,FALSE)</f>
        <v>0</v>
      </c>
      <c r="E711" t="s">
        <v>366</v>
      </c>
      <c r="F711" s="71" t="s">
        <v>367</v>
      </c>
      <c r="G711" s="71" t="s">
        <v>1013</v>
      </c>
      <c r="H711" s="71" t="s">
        <v>415</v>
      </c>
      <c r="I711" s="71" t="s">
        <v>1054</v>
      </c>
    </row>
    <row r="712" spans="1:9" ht="58" x14ac:dyDescent="0.35">
      <c r="A712">
        <v>5</v>
      </c>
      <c r="B712">
        <v>63</v>
      </c>
      <c r="C712" t="s">
        <v>1121</v>
      </c>
      <c r="D712" s="64">
        <f>VLOOKUP(C712,'CHAS - Cook Co'!$C$1:$J$2762,2,FALSE) - VLOOKUP(C712,'CHAS - Chicago'!$C$1:$J$2762,2,FALSE)</f>
        <v>0</v>
      </c>
      <c r="E712" t="s">
        <v>373</v>
      </c>
      <c r="F712" s="71" t="s">
        <v>367</v>
      </c>
      <c r="G712" s="71" t="s">
        <v>1013</v>
      </c>
      <c r="H712" s="71" t="s">
        <v>415</v>
      </c>
      <c r="I712" s="71" t="s">
        <v>1060</v>
      </c>
    </row>
    <row r="713" spans="1:9" ht="58" x14ac:dyDescent="0.35">
      <c r="A713">
        <v>5</v>
      </c>
      <c r="B713">
        <v>64</v>
      </c>
      <c r="C713" t="s">
        <v>1122</v>
      </c>
      <c r="D713" s="64">
        <f>VLOOKUP(C713,'CHAS - Cook Co'!$C$1:$J$2762,2,FALSE) - VLOOKUP(C713,'CHAS - Chicago'!$C$1:$J$2762,2,FALSE)</f>
        <v>0</v>
      </c>
      <c r="E713" t="s">
        <v>373</v>
      </c>
      <c r="F713" s="71" t="s">
        <v>367</v>
      </c>
      <c r="G713" s="71" t="s">
        <v>1013</v>
      </c>
      <c r="H713" s="71" t="s">
        <v>415</v>
      </c>
      <c r="I713" s="71" t="s">
        <v>1062</v>
      </c>
    </row>
    <row r="714" spans="1:9" ht="58" x14ac:dyDescent="0.35">
      <c r="A714">
        <v>5</v>
      </c>
      <c r="B714">
        <v>65</v>
      </c>
      <c r="C714" t="s">
        <v>1123</v>
      </c>
      <c r="D714" s="64">
        <f>VLOOKUP(C714,'CHAS - Cook Co'!$C$1:$J$2762,2,FALSE) - VLOOKUP(C714,'CHAS - Chicago'!$C$1:$J$2762,2,FALSE)</f>
        <v>0</v>
      </c>
      <c r="E714" t="s">
        <v>373</v>
      </c>
      <c r="F714" s="71" t="s">
        <v>367</v>
      </c>
      <c r="G714" s="71" t="s">
        <v>1013</v>
      </c>
      <c r="H714" s="71" t="s">
        <v>415</v>
      </c>
      <c r="I714" s="71" t="s">
        <v>1064</v>
      </c>
    </row>
    <row r="715" spans="1:9" x14ac:dyDescent="0.35">
      <c r="A715">
        <v>5</v>
      </c>
      <c r="B715">
        <v>66</v>
      </c>
      <c r="C715" t="s">
        <v>1124</v>
      </c>
      <c r="D715" s="64">
        <f>VLOOKUP(C715,'CHAS - Cook Co'!$C$1:$J$2762,2,FALSE) - VLOOKUP(C715,'CHAS - Chicago'!$C$1:$J$2762,2,FALSE)</f>
        <v>263750</v>
      </c>
      <c r="E715" t="s">
        <v>366</v>
      </c>
      <c r="F715" s="71" t="s">
        <v>508</v>
      </c>
      <c r="G715" s="71" t="s">
        <v>362</v>
      </c>
      <c r="H715" s="71" t="s">
        <v>363</v>
      </c>
      <c r="I715" s="71" t="s">
        <v>1054</v>
      </c>
    </row>
    <row r="716" spans="1:9" ht="43.5" x14ac:dyDescent="0.35">
      <c r="A716">
        <v>5</v>
      </c>
      <c r="B716">
        <v>67</v>
      </c>
      <c r="C716" t="s">
        <v>1125</v>
      </c>
      <c r="D716" s="64">
        <f>VLOOKUP(C716,'CHAS - Cook Co'!$C$1:$J$2762,2,FALSE) - VLOOKUP(C716,'CHAS - Chicago'!$C$1:$J$2762,2,FALSE)</f>
        <v>130520</v>
      </c>
      <c r="E716" t="s">
        <v>366</v>
      </c>
      <c r="F716" s="71" t="s">
        <v>508</v>
      </c>
      <c r="G716" s="71" t="s">
        <v>1057</v>
      </c>
      <c r="H716" s="71" t="s">
        <v>363</v>
      </c>
      <c r="I716" s="71" t="s">
        <v>1054</v>
      </c>
    </row>
    <row r="717" spans="1:9" ht="43.5" x14ac:dyDescent="0.35">
      <c r="A717">
        <v>5</v>
      </c>
      <c r="B717">
        <v>68</v>
      </c>
      <c r="C717" t="s">
        <v>1126</v>
      </c>
      <c r="D717" s="64">
        <f>VLOOKUP(C717,'CHAS - Cook Co'!$C$1:$J$2762,2,FALSE) - VLOOKUP(C717,'CHAS - Chicago'!$C$1:$J$2762,2,FALSE)</f>
        <v>56390</v>
      </c>
      <c r="E717" t="s">
        <v>366</v>
      </c>
      <c r="F717" s="71" t="s">
        <v>508</v>
      </c>
      <c r="G717" s="71" t="s">
        <v>1057</v>
      </c>
      <c r="H717" s="71" t="s">
        <v>371</v>
      </c>
      <c r="I717" s="71" t="s">
        <v>1054</v>
      </c>
    </row>
    <row r="718" spans="1:9" ht="43.5" x14ac:dyDescent="0.35">
      <c r="A718">
        <v>5</v>
      </c>
      <c r="B718">
        <v>69</v>
      </c>
      <c r="C718" t="s">
        <v>1127</v>
      </c>
      <c r="D718" s="64">
        <f>VLOOKUP(C718,'CHAS - Cook Co'!$C$1:$J$2762,2,FALSE) - VLOOKUP(C718,'CHAS - Chicago'!$C$1:$J$2762,2,FALSE)</f>
        <v>8895</v>
      </c>
      <c r="E718" t="s">
        <v>373</v>
      </c>
      <c r="F718" s="71" t="s">
        <v>508</v>
      </c>
      <c r="G718" s="71" t="s">
        <v>1057</v>
      </c>
      <c r="H718" s="71" t="s">
        <v>371</v>
      </c>
      <c r="I718" s="71" t="s">
        <v>1060</v>
      </c>
    </row>
    <row r="719" spans="1:9" ht="43.5" x14ac:dyDescent="0.35">
      <c r="A719">
        <v>5</v>
      </c>
      <c r="B719">
        <v>70</v>
      </c>
      <c r="C719" t="s">
        <v>1128</v>
      </c>
      <c r="D719" s="64">
        <f>VLOOKUP(C719,'CHAS - Cook Co'!$C$1:$J$2762,2,FALSE) - VLOOKUP(C719,'CHAS - Chicago'!$C$1:$J$2762,2,FALSE)</f>
        <v>6570</v>
      </c>
      <c r="E719" t="s">
        <v>373</v>
      </c>
      <c r="F719" s="71" t="s">
        <v>508</v>
      </c>
      <c r="G719" s="71" t="s">
        <v>1057</v>
      </c>
      <c r="H719" s="71" t="s">
        <v>371</v>
      </c>
      <c r="I719" s="71" t="s">
        <v>1062</v>
      </c>
    </row>
    <row r="720" spans="1:9" ht="43.5" x14ac:dyDescent="0.35">
      <c r="A720">
        <v>5</v>
      </c>
      <c r="B720">
        <v>71</v>
      </c>
      <c r="C720" t="s">
        <v>1129</v>
      </c>
      <c r="D720" s="64">
        <f>VLOOKUP(C720,'CHAS - Cook Co'!$C$1:$J$2762,2,FALSE) - VLOOKUP(C720,'CHAS - Chicago'!$C$1:$J$2762,2,FALSE)</f>
        <v>40925</v>
      </c>
      <c r="E720" t="s">
        <v>373</v>
      </c>
      <c r="F720" s="71" t="s">
        <v>508</v>
      </c>
      <c r="G720" s="71" t="s">
        <v>1057</v>
      </c>
      <c r="H720" s="71" t="s">
        <v>371</v>
      </c>
      <c r="I720" s="71" t="s">
        <v>1064</v>
      </c>
    </row>
    <row r="721" spans="1:9" ht="43.5" x14ac:dyDescent="0.35">
      <c r="A721">
        <v>5</v>
      </c>
      <c r="B721">
        <v>72</v>
      </c>
      <c r="C721" t="s">
        <v>1130</v>
      </c>
      <c r="D721" s="64">
        <f>VLOOKUP(C721,'CHAS - Cook Co'!$C$1:$J$2762,2,FALSE) - VLOOKUP(C721,'CHAS - Chicago'!$C$1:$J$2762,2,FALSE)</f>
        <v>41335</v>
      </c>
      <c r="E721" t="s">
        <v>366</v>
      </c>
      <c r="F721" s="71" t="s">
        <v>508</v>
      </c>
      <c r="G721" s="71" t="s">
        <v>1057</v>
      </c>
      <c r="H721" s="71" t="s">
        <v>388</v>
      </c>
      <c r="I721" s="71" t="s">
        <v>1054</v>
      </c>
    </row>
    <row r="722" spans="1:9" ht="43.5" x14ac:dyDescent="0.35">
      <c r="A722">
        <v>5</v>
      </c>
      <c r="B722">
        <v>73</v>
      </c>
      <c r="C722" t="s">
        <v>1131</v>
      </c>
      <c r="D722" s="64">
        <f>VLOOKUP(C722,'CHAS - Cook Co'!$C$1:$J$2762,2,FALSE) - VLOOKUP(C722,'CHAS - Chicago'!$C$1:$J$2762,2,FALSE)</f>
        <v>5825</v>
      </c>
      <c r="E722" t="s">
        <v>373</v>
      </c>
      <c r="F722" s="71" t="s">
        <v>508</v>
      </c>
      <c r="G722" s="71" t="s">
        <v>1057</v>
      </c>
      <c r="H722" s="71" t="s">
        <v>388</v>
      </c>
      <c r="I722" s="71" t="s">
        <v>1060</v>
      </c>
    </row>
    <row r="723" spans="1:9" ht="43.5" x14ac:dyDescent="0.35">
      <c r="A723">
        <v>5</v>
      </c>
      <c r="B723">
        <v>74</v>
      </c>
      <c r="C723" t="s">
        <v>1132</v>
      </c>
      <c r="D723" s="64">
        <f>VLOOKUP(C723,'CHAS - Cook Co'!$C$1:$J$2762,2,FALSE) - VLOOKUP(C723,'CHAS - Chicago'!$C$1:$J$2762,2,FALSE)</f>
        <v>4395</v>
      </c>
      <c r="E723" t="s">
        <v>373</v>
      </c>
      <c r="F723" s="71" t="s">
        <v>508</v>
      </c>
      <c r="G723" s="71" t="s">
        <v>1057</v>
      </c>
      <c r="H723" s="71" t="s">
        <v>388</v>
      </c>
      <c r="I723" s="71" t="s">
        <v>1062</v>
      </c>
    </row>
    <row r="724" spans="1:9" ht="43.5" x14ac:dyDescent="0.35">
      <c r="A724">
        <v>5</v>
      </c>
      <c r="B724">
        <v>75</v>
      </c>
      <c r="C724" t="s">
        <v>1133</v>
      </c>
      <c r="D724" s="64">
        <f>VLOOKUP(C724,'CHAS - Cook Co'!$C$1:$J$2762,2,FALSE) - VLOOKUP(C724,'CHAS - Chicago'!$C$1:$J$2762,2,FALSE)</f>
        <v>31115</v>
      </c>
      <c r="E724" t="s">
        <v>373</v>
      </c>
      <c r="F724" s="71" t="s">
        <v>508</v>
      </c>
      <c r="G724" s="71" t="s">
        <v>1057</v>
      </c>
      <c r="H724" s="71" t="s">
        <v>388</v>
      </c>
      <c r="I724" s="71" t="s">
        <v>1064</v>
      </c>
    </row>
    <row r="725" spans="1:9" ht="43.5" x14ac:dyDescent="0.35">
      <c r="A725">
        <v>5</v>
      </c>
      <c r="B725">
        <v>76</v>
      </c>
      <c r="C725" t="s">
        <v>1134</v>
      </c>
      <c r="D725" s="64">
        <f>VLOOKUP(C725,'CHAS - Cook Co'!$C$1:$J$2762,2,FALSE) - VLOOKUP(C725,'CHAS - Chicago'!$C$1:$J$2762,2,FALSE)</f>
        <v>23050</v>
      </c>
      <c r="E725" t="s">
        <v>366</v>
      </c>
      <c r="F725" s="71" t="s">
        <v>508</v>
      </c>
      <c r="G725" s="71" t="s">
        <v>1057</v>
      </c>
      <c r="H725" s="71" t="s">
        <v>397</v>
      </c>
      <c r="I725" s="71" t="s">
        <v>1054</v>
      </c>
    </row>
    <row r="726" spans="1:9" ht="43.5" x14ac:dyDescent="0.35">
      <c r="A726">
        <v>5</v>
      </c>
      <c r="B726">
        <v>77</v>
      </c>
      <c r="C726" t="s">
        <v>1135</v>
      </c>
      <c r="D726" s="64">
        <f>VLOOKUP(C726,'CHAS - Cook Co'!$C$1:$J$2762,2,FALSE) - VLOOKUP(C726,'CHAS - Chicago'!$C$1:$J$2762,2,FALSE)</f>
        <v>2810</v>
      </c>
      <c r="E726" t="s">
        <v>373</v>
      </c>
      <c r="F726" s="71" t="s">
        <v>508</v>
      </c>
      <c r="G726" s="71" t="s">
        <v>1057</v>
      </c>
      <c r="H726" s="71" t="s">
        <v>397</v>
      </c>
      <c r="I726" s="71" t="s">
        <v>1060</v>
      </c>
    </row>
    <row r="727" spans="1:9" ht="43.5" x14ac:dyDescent="0.35">
      <c r="A727">
        <v>5</v>
      </c>
      <c r="B727">
        <v>78</v>
      </c>
      <c r="C727" t="s">
        <v>1136</v>
      </c>
      <c r="D727" s="64">
        <f>VLOOKUP(C727,'CHAS - Cook Co'!$C$1:$J$2762,2,FALSE) - VLOOKUP(C727,'CHAS - Chicago'!$C$1:$J$2762,2,FALSE)</f>
        <v>1745</v>
      </c>
      <c r="E727" t="s">
        <v>373</v>
      </c>
      <c r="F727" s="71" t="s">
        <v>508</v>
      </c>
      <c r="G727" s="71" t="s">
        <v>1057</v>
      </c>
      <c r="H727" s="71" t="s">
        <v>397</v>
      </c>
      <c r="I727" s="71" t="s">
        <v>1062</v>
      </c>
    </row>
    <row r="728" spans="1:9" ht="43.5" x14ac:dyDescent="0.35">
      <c r="A728">
        <v>5</v>
      </c>
      <c r="B728">
        <v>79</v>
      </c>
      <c r="C728" t="s">
        <v>1137</v>
      </c>
      <c r="D728" s="64">
        <f>VLOOKUP(C728,'CHAS - Cook Co'!$C$1:$J$2762,2,FALSE) - VLOOKUP(C728,'CHAS - Chicago'!$C$1:$J$2762,2,FALSE)</f>
        <v>18495</v>
      </c>
      <c r="E728" t="s">
        <v>373</v>
      </c>
      <c r="F728" s="71" t="s">
        <v>508</v>
      </c>
      <c r="G728" s="71" t="s">
        <v>1057</v>
      </c>
      <c r="H728" s="71" t="s">
        <v>397</v>
      </c>
      <c r="I728" s="71" t="s">
        <v>1064</v>
      </c>
    </row>
    <row r="729" spans="1:9" ht="43.5" x14ac:dyDescent="0.35">
      <c r="A729">
        <v>5</v>
      </c>
      <c r="B729">
        <v>80</v>
      </c>
      <c r="C729" t="s">
        <v>1138</v>
      </c>
      <c r="D729" s="64">
        <f>VLOOKUP(C729,'CHAS - Cook Co'!$C$1:$J$2762,2,FALSE) - VLOOKUP(C729,'CHAS - Chicago'!$C$1:$J$2762,2,FALSE)</f>
        <v>4865</v>
      </c>
      <c r="E729" t="s">
        <v>366</v>
      </c>
      <c r="F729" s="71" t="s">
        <v>508</v>
      </c>
      <c r="G729" s="71" t="s">
        <v>1057</v>
      </c>
      <c r="H729" s="71" t="s">
        <v>406</v>
      </c>
      <c r="I729" s="71" t="s">
        <v>1054</v>
      </c>
    </row>
    <row r="730" spans="1:9" ht="43.5" x14ac:dyDescent="0.35">
      <c r="A730">
        <v>5</v>
      </c>
      <c r="B730">
        <v>81</v>
      </c>
      <c r="C730" t="s">
        <v>1139</v>
      </c>
      <c r="D730" s="64">
        <f>VLOOKUP(C730,'CHAS - Cook Co'!$C$1:$J$2762,2,FALSE) - VLOOKUP(C730,'CHAS - Chicago'!$C$1:$J$2762,2,FALSE)</f>
        <v>580</v>
      </c>
      <c r="E730" t="s">
        <v>373</v>
      </c>
      <c r="F730" s="71" t="s">
        <v>508</v>
      </c>
      <c r="G730" s="71" t="s">
        <v>1057</v>
      </c>
      <c r="H730" s="71" t="s">
        <v>406</v>
      </c>
      <c r="I730" s="71" t="s">
        <v>1060</v>
      </c>
    </row>
    <row r="731" spans="1:9" ht="43.5" x14ac:dyDescent="0.35">
      <c r="A731">
        <v>5</v>
      </c>
      <c r="B731">
        <v>82</v>
      </c>
      <c r="C731" t="s">
        <v>1140</v>
      </c>
      <c r="D731" s="64">
        <f>VLOOKUP(C731,'CHAS - Cook Co'!$C$1:$J$2762,2,FALSE) - VLOOKUP(C731,'CHAS - Chicago'!$C$1:$J$2762,2,FALSE)</f>
        <v>470</v>
      </c>
      <c r="E731" t="s">
        <v>373</v>
      </c>
      <c r="F731" s="71" t="s">
        <v>508</v>
      </c>
      <c r="G731" s="71" t="s">
        <v>1057</v>
      </c>
      <c r="H731" s="71" t="s">
        <v>406</v>
      </c>
      <c r="I731" s="71" t="s">
        <v>1062</v>
      </c>
    </row>
    <row r="732" spans="1:9" ht="43.5" x14ac:dyDescent="0.35">
      <c r="A732">
        <v>5</v>
      </c>
      <c r="B732">
        <v>83</v>
      </c>
      <c r="C732" t="s">
        <v>1141</v>
      </c>
      <c r="D732" s="64">
        <f>VLOOKUP(C732,'CHAS - Cook Co'!$C$1:$J$2762,2,FALSE) - VLOOKUP(C732,'CHAS - Chicago'!$C$1:$J$2762,2,FALSE)</f>
        <v>3815</v>
      </c>
      <c r="E732" t="s">
        <v>373</v>
      </c>
      <c r="F732" s="71" t="s">
        <v>508</v>
      </c>
      <c r="G732" s="71" t="s">
        <v>1057</v>
      </c>
      <c r="H732" s="71" t="s">
        <v>406</v>
      </c>
      <c r="I732" s="71" t="s">
        <v>1064</v>
      </c>
    </row>
    <row r="733" spans="1:9" ht="43.5" x14ac:dyDescent="0.35">
      <c r="A733">
        <v>5</v>
      </c>
      <c r="B733">
        <v>84</v>
      </c>
      <c r="C733" t="s">
        <v>1142</v>
      </c>
      <c r="D733" s="64">
        <f>VLOOKUP(C733,'CHAS - Cook Co'!$C$1:$J$2762,2,FALSE) - VLOOKUP(C733,'CHAS - Chicago'!$C$1:$J$2762,2,FALSE)</f>
        <v>4880</v>
      </c>
      <c r="E733" t="s">
        <v>366</v>
      </c>
      <c r="F733" s="71" t="s">
        <v>508</v>
      </c>
      <c r="G733" s="71" t="s">
        <v>1057</v>
      </c>
      <c r="H733" s="71" t="s">
        <v>415</v>
      </c>
      <c r="I733" s="71" t="s">
        <v>1054</v>
      </c>
    </row>
    <row r="734" spans="1:9" ht="43.5" x14ac:dyDescent="0.35">
      <c r="A734">
        <v>5</v>
      </c>
      <c r="B734">
        <v>85</v>
      </c>
      <c r="C734" t="s">
        <v>1143</v>
      </c>
      <c r="D734" s="64">
        <f>VLOOKUP(C734,'CHAS - Cook Co'!$C$1:$J$2762,2,FALSE) - VLOOKUP(C734,'CHAS - Chicago'!$C$1:$J$2762,2,FALSE)</f>
        <v>710</v>
      </c>
      <c r="E734" t="s">
        <v>373</v>
      </c>
      <c r="F734" s="71" t="s">
        <v>508</v>
      </c>
      <c r="G734" s="71" t="s">
        <v>1057</v>
      </c>
      <c r="H734" s="71" t="s">
        <v>415</v>
      </c>
      <c r="I734" s="71" t="s">
        <v>1060</v>
      </c>
    </row>
    <row r="735" spans="1:9" ht="43.5" x14ac:dyDescent="0.35">
      <c r="A735">
        <v>5</v>
      </c>
      <c r="B735">
        <v>86</v>
      </c>
      <c r="C735" t="s">
        <v>1144</v>
      </c>
      <c r="D735" s="64">
        <f>VLOOKUP(C735,'CHAS - Cook Co'!$C$1:$J$2762,2,FALSE) - VLOOKUP(C735,'CHAS - Chicago'!$C$1:$J$2762,2,FALSE)</f>
        <v>1040</v>
      </c>
      <c r="E735" t="s">
        <v>373</v>
      </c>
      <c r="F735" s="71" t="s">
        <v>508</v>
      </c>
      <c r="G735" s="71" t="s">
        <v>1057</v>
      </c>
      <c r="H735" s="71" t="s">
        <v>415</v>
      </c>
      <c r="I735" s="71" t="s">
        <v>1062</v>
      </c>
    </row>
    <row r="736" spans="1:9" ht="43.5" x14ac:dyDescent="0.35">
      <c r="A736">
        <v>5</v>
      </c>
      <c r="B736">
        <v>87</v>
      </c>
      <c r="C736" t="s">
        <v>1145</v>
      </c>
      <c r="D736" s="64">
        <f>VLOOKUP(C736,'CHAS - Cook Co'!$C$1:$J$2762,2,FALSE) - VLOOKUP(C736,'CHAS - Chicago'!$C$1:$J$2762,2,FALSE)</f>
        <v>3135</v>
      </c>
      <c r="E736" t="s">
        <v>373</v>
      </c>
      <c r="F736" s="71" t="s">
        <v>508</v>
      </c>
      <c r="G736" s="71" t="s">
        <v>1057</v>
      </c>
      <c r="H736" s="71" t="s">
        <v>415</v>
      </c>
      <c r="I736" s="71" t="s">
        <v>1064</v>
      </c>
    </row>
    <row r="737" spans="1:9" ht="29" x14ac:dyDescent="0.35">
      <c r="A737">
        <v>5</v>
      </c>
      <c r="B737">
        <v>88</v>
      </c>
      <c r="C737" t="s">
        <v>1146</v>
      </c>
      <c r="D737" s="64">
        <f>VLOOKUP(C737,'CHAS - Cook Co'!$C$1:$J$2762,2,FALSE) - VLOOKUP(C737,'CHAS - Chicago'!$C$1:$J$2762,2,FALSE)</f>
        <v>124670</v>
      </c>
      <c r="E737" t="s">
        <v>366</v>
      </c>
      <c r="F737" s="71" t="s">
        <v>508</v>
      </c>
      <c r="G737" s="71" t="s">
        <v>1082</v>
      </c>
      <c r="H737" s="71" t="s">
        <v>363</v>
      </c>
      <c r="I737" s="71" t="s">
        <v>1054</v>
      </c>
    </row>
    <row r="738" spans="1:9" ht="29" x14ac:dyDescent="0.35">
      <c r="A738">
        <v>5</v>
      </c>
      <c r="B738">
        <v>89</v>
      </c>
      <c r="C738" t="s">
        <v>1147</v>
      </c>
      <c r="D738" s="64">
        <f>VLOOKUP(C738,'CHAS - Cook Co'!$C$1:$J$2762,2,FALSE) - VLOOKUP(C738,'CHAS - Chicago'!$C$1:$J$2762,2,FALSE)</f>
        <v>6820</v>
      </c>
      <c r="E738" t="s">
        <v>366</v>
      </c>
      <c r="F738" s="71" t="s">
        <v>508</v>
      </c>
      <c r="G738" s="71" t="s">
        <v>1082</v>
      </c>
      <c r="H738" s="71" t="s">
        <v>371</v>
      </c>
      <c r="I738" s="71" t="s">
        <v>1054</v>
      </c>
    </row>
    <row r="739" spans="1:9" ht="43.5" x14ac:dyDescent="0.35">
      <c r="A739">
        <v>5</v>
      </c>
      <c r="B739">
        <v>90</v>
      </c>
      <c r="C739" t="s">
        <v>1148</v>
      </c>
      <c r="D739" s="64">
        <f>VLOOKUP(C739,'CHAS - Cook Co'!$C$1:$J$2762,2,FALSE) - VLOOKUP(C739,'CHAS - Chicago'!$C$1:$J$2762,2,FALSE)</f>
        <v>1925</v>
      </c>
      <c r="E739" t="s">
        <v>373</v>
      </c>
      <c r="F739" s="71" t="s">
        <v>508</v>
      </c>
      <c r="G739" s="71" t="s">
        <v>1082</v>
      </c>
      <c r="H739" s="71" t="s">
        <v>371</v>
      </c>
      <c r="I739" s="71" t="s">
        <v>1060</v>
      </c>
    </row>
    <row r="740" spans="1:9" ht="29" x14ac:dyDescent="0.35">
      <c r="A740">
        <v>5</v>
      </c>
      <c r="B740">
        <v>91</v>
      </c>
      <c r="C740" t="s">
        <v>1149</v>
      </c>
      <c r="D740" s="64">
        <f>VLOOKUP(C740,'CHAS - Cook Co'!$C$1:$J$2762,2,FALSE) - VLOOKUP(C740,'CHAS - Chicago'!$C$1:$J$2762,2,FALSE)</f>
        <v>1970</v>
      </c>
      <c r="E740" t="s">
        <v>373</v>
      </c>
      <c r="F740" s="71" t="s">
        <v>508</v>
      </c>
      <c r="G740" s="71" t="s">
        <v>1082</v>
      </c>
      <c r="H740" s="71" t="s">
        <v>371</v>
      </c>
      <c r="I740" s="71" t="s">
        <v>1062</v>
      </c>
    </row>
    <row r="741" spans="1:9" ht="29" x14ac:dyDescent="0.35">
      <c r="A741">
        <v>5</v>
      </c>
      <c r="B741">
        <v>92</v>
      </c>
      <c r="C741" t="s">
        <v>1150</v>
      </c>
      <c r="D741" s="64">
        <f>VLOOKUP(C741,'CHAS - Cook Co'!$C$1:$J$2762,2,FALSE) - VLOOKUP(C741,'CHAS - Chicago'!$C$1:$J$2762,2,FALSE)</f>
        <v>2920</v>
      </c>
      <c r="E741" t="s">
        <v>373</v>
      </c>
      <c r="F741" s="71" t="s">
        <v>508</v>
      </c>
      <c r="G741" s="71" t="s">
        <v>1082</v>
      </c>
      <c r="H741" s="71" t="s">
        <v>371</v>
      </c>
      <c r="I741" s="71" t="s">
        <v>1064</v>
      </c>
    </row>
    <row r="742" spans="1:9" ht="43.5" x14ac:dyDescent="0.35">
      <c r="A742">
        <v>5</v>
      </c>
      <c r="B742">
        <v>93</v>
      </c>
      <c r="C742" t="s">
        <v>1151</v>
      </c>
      <c r="D742" s="64">
        <f>VLOOKUP(C742,'CHAS - Cook Co'!$C$1:$J$2762,2,FALSE) - VLOOKUP(C742,'CHAS - Chicago'!$C$1:$J$2762,2,FALSE)</f>
        <v>7155</v>
      </c>
      <c r="E742" t="s">
        <v>366</v>
      </c>
      <c r="F742" s="71" t="s">
        <v>508</v>
      </c>
      <c r="G742" s="71" t="s">
        <v>1082</v>
      </c>
      <c r="H742" s="71" t="s">
        <v>388</v>
      </c>
      <c r="I742" s="71" t="s">
        <v>1054</v>
      </c>
    </row>
    <row r="743" spans="1:9" ht="43.5" x14ac:dyDescent="0.35">
      <c r="A743">
        <v>5</v>
      </c>
      <c r="B743">
        <v>94</v>
      </c>
      <c r="C743" t="s">
        <v>1152</v>
      </c>
      <c r="D743" s="64">
        <f>VLOOKUP(C743,'CHAS - Cook Co'!$C$1:$J$2762,2,FALSE) - VLOOKUP(C743,'CHAS - Chicago'!$C$1:$J$2762,2,FALSE)</f>
        <v>1250</v>
      </c>
      <c r="E743" t="s">
        <v>373</v>
      </c>
      <c r="F743" s="71" t="s">
        <v>508</v>
      </c>
      <c r="G743" s="71" t="s">
        <v>1082</v>
      </c>
      <c r="H743" s="71" t="s">
        <v>388</v>
      </c>
      <c r="I743" s="71" t="s">
        <v>1060</v>
      </c>
    </row>
    <row r="744" spans="1:9" ht="43.5" x14ac:dyDescent="0.35">
      <c r="A744">
        <v>5</v>
      </c>
      <c r="B744">
        <v>95</v>
      </c>
      <c r="C744" t="s">
        <v>1153</v>
      </c>
      <c r="D744" s="64">
        <f>VLOOKUP(C744,'CHAS - Cook Co'!$C$1:$J$2762,2,FALSE) - VLOOKUP(C744,'CHAS - Chicago'!$C$1:$J$2762,2,FALSE)</f>
        <v>1200</v>
      </c>
      <c r="E744" t="s">
        <v>373</v>
      </c>
      <c r="F744" s="71" t="s">
        <v>508</v>
      </c>
      <c r="G744" s="71" t="s">
        <v>1082</v>
      </c>
      <c r="H744" s="71" t="s">
        <v>388</v>
      </c>
      <c r="I744" s="71" t="s">
        <v>1062</v>
      </c>
    </row>
    <row r="745" spans="1:9" ht="43.5" x14ac:dyDescent="0.35">
      <c r="A745">
        <v>5</v>
      </c>
      <c r="B745">
        <v>96</v>
      </c>
      <c r="C745" t="s">
        <v>1154</v>
      </c>
      <c r="D745" s="64">
        <f>VLOOKUP(C745,'CHAS - Cook Co'!$C$1:$J$2762,2,FALSE) - VLOOKUP(C745,'CHAS - Chicago'!$C$1:$J$2762,2,FALSE)</f>
        <v>4705</v>
      </c>
      <c r="E745" t="s">
        <v>373</v>
      </c>
      <c r="F745" s="71" t="s">
        <v>508</v>
      </c>
      <c r="G745" s="71" t="s">
        <v>1082</v>
      </c>
      <c r="H745" s="71" t="s">
        <v>388</v>
      </c>
      <c r="I745" s="71" t="s">
        <v>1064</v>
      </c>
    </row>
    <row r="746" spans="1:9" ht="43.5" x14ac:dyDescent="0.35">
      <c r="A746">
        <v>5</v>
      </c>
      <c r="B746">
        <v>97</v>
      </c>
      <c r="C746" t="s">
        <v>1155</v>
      </c>
      <c r="D746" s="64">
        <f>VLOOKUP(C746,'CHAS - Cook Co'!$C$1:$J$2762,2,FALSE) - VLOOKUP(C746,'CHAS - Chicago'!$C$1:$J$2762,2,FALSE)</f>
        <v>30990</v>
      </c>
      <c r="E746" t="s">
        <v>366</v>
      </c>
      <c r="F746" s="71" t="s">
        <v>508</v>
      </c>
      <c r="G746" s="71" t="s">
        <v>1082</v>
      </c>
      <c r="H746" s="71" t="s">
        <v>397</v>
      </c>
      <c r="I746" s="71" t="s">
        <v>1054</v>
      </c>
    </row>
    <row r="747" spans="1:9" ht="43.5" x14ac:dyDescent="0.35">
      <c r="A747">
        <v>5</v>
      </c>
      <c r="B747">
        <v>98</v>
      </c>
      <c r="C747" t="s">
        <v>1156</v>
      </c>
      <c r="D747" s="64">
        <f>VLOOKUP(C747,'CHAS - Cook Co'!$C$1:$J$2762,2,FALSE) - VLOOKUP(C747,'CHAS - Chicago'!$C$1:$J$2762,2,FALSE)</f>
        <v>3485</v>
      </c>
      <c r="E747" t="s">
        <v>373</v>
      </c>
      <c r="F747" s="71" t="s">
        <v>508</v>
      </c>
      <c r="G747" s="71" t="s">
        <v>1082</v>
      </c>
      <c r="H747" s="71" t="s">
        <v>397</v>
      </c>
      <c r="I747" s="71" t="s">
        <v>1060</v>
      </c>
    </row>
    <row r="748" spans="1:9" ht="43.5" x14ac:dyDescent="0.35">
      <c r="A748">
        <v>5</v>
      </c>
      <c r="B748">
        <v>99</v>
      </c>
      <c r="C748" t="s">
        <v>1157</v>
      </c>
      <c r="D748" s="64">
        <f>VLOOKUP(C748,'CHAS - Cook Co'!$C$1:$J$2762,2,FALSE) - VLOOKUP(C748,'CHAS - Chicago'!$C$1:$J$2762,2,FALSE)</f>
        <v>1415</v>
      </c>
      <c r="E748" t="s">
        <v>373</v>
      </c>
      <c r="F748" s="71" t="s">
        <v>508</v>
      </c>
      <c r="G748" s="71" t="s">
        <v>1082</v>
      </c>
      <c r="H748" s="71" t="s">
        <v>397</v>
      </c>
      <c r="I748" s="71" t="s">
        <v>1062</v>
      </c>
    </row>
    <row r="749" spans="1:9" ht="43.5" x14ac:dyDescent="0.35">
      <c r="A749">
        <v>5</v>
      </c>
      <c r="B749">
        <v>100</v>
      </c>
      <c r="C749" t="s">
        <v>1158</v>
      </c>
      <c r="D749" s="64">
        <f>VLOOKUP(C749,'CHAS - Cook Co'!$C$1:$J$2762,2,FALSE) - VLOOKUP(C749,'CHAS - Chicago'!$C$1:$J$2762,2,FALSE)</f>
        <v>26090</v>
      </c>
      <c r="E749" t="s">
        <v>373</v>
      </c>
      <c r="F749" s="71" t="s">
        <v>508</v>
      </c>
      <c r="G749" s="71" t="s">
        <v>1082</v>
      </c>
      <c r="H749" s="71" t="s">
        <v>397</v>
      </c>
      <c r="I749" s="71" t="s">
        <v>1064</v>
      </c>
    </row>
    <row r="750" spans="1:9" ht="43.5" x14ac:dyDescent="0.35">
      <c r="A750">
        <v>5</v>
      </c>
      <c r="B750">
        <v>101</v>
      </c>
      <c r="C750" t="s">
        <v>1159</v>
      </c>
      <c r="D750" s="64">
        <f>VLOOKUP(C750,'CHAS - Cook Co'!$C$1:$J$2762,2,FALSE) - VLOOKUP(C750,'CHAS - Chicago'!$C$1:$J$2762,2,FALSE)</f>
        <v>22450</v>
      </c>
      <c r="E750" t="s">
        <v>366</v>
      </c>
      <c r="F750" s="71" t="s">
        <v>508</v>
      </c>
      <c r="G750" s="71" t="s">
        <v>1082</v>
      </c>
      <c r="H750" s="71" t="s">
        <v>406</v>
      </c>
      <c r="I750" s="71" t="s">
        <v>1054</v>
      </c>
    </row>
    <row r="751" spans="1:9" ht="43.5" x14ac:dyDescent="0.35">
      <c r="A751">
        <v>5</v>
      </c>
      <c r="B751">
        <v>102</v>
      </c>
      <c r="C751" t="s">
        <v>1160</v>
      </c>
      <c r="D751" s="64">
        <f>VLOOKUP(C751,'CHAS - Cook Co'!$C$1:$J$2762,2,FALSE) - VLOOKUP(C751,'CHAS - Chicago'!$C$1:$J$2762,2,FALSE)</f>
        <v>2435</v>
      </c>
      <c r="E751" t="s">
        <v>373</v>
      </c>
      <c r="F751" s="71" t="s">
        <v>508</v>
      </c>
      <c r="G751" s="71" t="s">
        <v>1082</v>
      </c>
      <c r="H751" s="71" t="s">
        <v>406</v>
      </c>
      <c r="I751" s="71" t="s">
        <v>1060</v>
      </c>
    </row>
    <row r="752" spans="1:9" ht="43.5" x14ac:dyDescent="0.35">
      <c r="A752">
        <v>5</v>
      </c>
      <c r="B752">
        <v>103</v>
      </c>
      <c r="C752" t="s">
        <v>1161</v>
      </c>
      <c r="D752" s="64">
        <f>VLOOKUP(C752,'CHAS - Cook Co'!$C$1:$J$2762,2,FALSE) - VLOOKUP(C752,'CHAS - Chicago'!$C$1:$J$2762,2,FALSE)</f>
        <v>685</v>
      </c>
      <c r="E752" t="s">
        <v>373</v>
      </c>
      <c r="F752" s="71" t="s">
        <v>508</v>
      </c>
      <c r="G752" s="71" t="s">
        <v>1082</v>
      </c>
      <c r="H752" s="71" t="s">
        <v>406</v>
      </c>
      <c r="I752" s="71" t="s">
        <v>1062</v>
      </c>
    </row>
    <row r="753" spans="1:9" ht="43.5" x14ac:dyDescent="0.35">
      <c r="A753">
        <v>5</v>
      </c>
      <c r="B753">
        <v>104</v>
      </c>
      <c r="C753" t="s">
        <v>1162</v>
      </c>
      <c r="D753" s="64">
        <f>VLOOKUP(C753,'CHAS - Cook Co'!$C$1:$J$2762,2,FALSE) - VLOOKUP(C753,'CHAS - Chicago'!$C$1:$J$2762,2,FALSE)</f>
        <v>19330</v>
      </c>
      <c r="E753" t="s">
        <v>373</v>
      </c>
      <c r="F753" s="71" t="s">
        <v>508</v>
      </c>
      <c r="G753" s="71" t="s">
        <v>1082</v>
      </c>
      <c r="H753" s="71" t="s">
        <v>406</v>
      </c>
      <c r="I753" s="71" t="s">
        <v>1064</v>
      </c>
    </row>
    <row r="754" spans="1:9" ht="29" x14ac:dyDescent="0.35">
      <c r="A754">
        <v>5</v>
      </c>
      <c r="B754">
        <v>105</v>
      </c>
      <c r="C754" t="s">
        <v>1163</v>
      </c>
      <c r="D754" s="64">
        <f>VLOOKUP(C754,'CHAS - Cook Co'!$C$1:$J$2762,2,FALSE) - VLOOKUP(C754,'CHAS - Chicago'!$C$1:$J$2762,2,FALSE)</f>
        <v>57255</v>
      </c>
      <c r="E754" t="s">
        <v>366</v>
      </c>
      <c r="F754" s="71" t="s">
        <v>508</v>
      </c>
      <c r="G754" s="71" t="s">
        <v>1082</v>
      </c>
      <c r="H754" s="71" t="s">
        <v>415</v>
      </c>
      <c r="I754" s="71" t="s">
        <v>1054</v>
      </c>
    </row>
    <row r="755" spans="1:9" ht="43.5" x14ac:dyDescent="0.35">
      <c r="A755">
        <v>5</v>
      </c>
      <c r="B755">
        <v>106</v>
      </c>
      <c r="C755" t="s">
        <v>1164</v>
      </c>
      <c r="D755" s="64">
        <f>VLOOKUP(C755,'CHAS - Cook Co'!$C$1:$J$2762,2,FALSE) - VLOOKUP(C755,'CHAS - Chicago'!$C$1:$J$2762,2,FALSE)</f>
        <v>5070</v>
      </c>
      <c r="E755" t="s">
        <v>373</v>
      </c>
      <c r="F755" s="71" t="s">
        <v>508</v>
      </c>
      <c r="G755" s="71" t="s">
        <v>1082</v>
      </c>
      <c r="H755" s="71" t="s">
        <v>415</v>
      </c>
      <c r="I755" s="71" t="s">
        <v>1060</v>
      </c>
    </row>
    <row r="756" spans="1:9" ht="29" x14ac:dyDescent="0.35">
      <c r="A756">
        <v>5</v>
      </c>
      <c r="B756">
        <v>107</v>
      </c>
      <c r="C756" t="s">
        <v>1165</v>
      </c>
      <c r="D756" s="64">
        <f>VLOOKUP(C756,'CHAS - Cook Co'!$C$1:$J$2762,2,FALSE) - VLOOKUP(C756,'CHAS - Chicago'!$C$1:$J$2762,2,FALSE)</f>
        <v>1800</v>
      </c>
      <c r="E756" t="s">
        <v>373</v>
      </c>
      <c r="F756" s="71" t="s">
        <v>508</v>
      </c>
      <c r="G756" s="71" t="s">
        <v>1082</v>
      </c>
      <c r="H756" s="71" t="s">
        <v>415</v>
      </c>
      <c r="I756" s="71" t="s">
        <v>1062</v>
      </c>
    </row>
    <row r="757" spans="1:9" ht="29" x14ac:dyDescent="0.35">
      <c r="A757">
        <v>5</v>
      </c>
      <c r="B757">
        <v>108</v>
      </c>
      <c r="C757" t="s">
        <v>1166</v>
      </c>
      <c r="D757" s="64">
        <f>VLOOKUP(C757,'CHAS - Cook Co'!$C$1:$J$2762,2,FALSE) - VLOOKUP(C757,'CHAS - Chicago'!$C$1:$J$2762,2,FALSE)</f>
        <v>50390</v>
      </c>
      <c r="E757" t="s">
        <v>373</v>
      </c>
      <c r="F757" s="71" t="s">
        <v>508</v>
      </c>
      <c r="G757" s="71" t="s">
        <v>1082</v>
      </c>
      <c r="H757" s="71" t="s">
        <v>415</v>
      </c>
      <c r="I757" s="71" t="s">
        <v>1064</v>
      </c>
    </row>
    <row r="758" spans="1:9" ht="58" x14ac:dyDescent="0.35">
      <c r="A758">
        <v>5</v>
      </c>
      <c r="B758">
        <v>109</v>
      </c>
      <c r="C758" t="s">
        <v>1167</v>
      </c>
      <c r="D758" s="64">
        <f>VLOOKUP(C758,'CHAS - Cook Co'!$C$1:$J$2762,2,FALSE) - VLOOKUP(C758,'CHAS - Chicago'!$C$1:$J$2762,2,FALSE)</f>
        <v>8560</v>
      </c>
      <c r="E758" t="s">
        <v>366</v>
      </c>
      <c r="F758" s="71" t="s">
        <v>508</v>
      </c>
      <c r="G758" s="71" t="s">
        <v>1013</v>
      </c>
      <c r="H758" s="71" t="s">
        <v>363</v>
      </c>
      <c r="I758" s="71" t="s">
        <v>1054</v>
      </c>
    </row>
    <row r="759" spans="1:9" ht="58" x14ac:dyDescent="0.35">
      <c r="A759">
        <v>5</v>
      </c>
      <c r="B759">
        <v>110</v>
      </c>
      <c r="C759" t="s">
        <v>1168</v>
      </c>
      <c r="D759" s="64">
        <f>VLOOKUP(C759,'CHAS - Cook Co'!$C$1:$J$2762,2,FALSE) - VLOOKUP(C759,'CHAS - Chicago'!$C$1:$J$2762,2,FALSE)</f>
        <v>8560</v>
      </c>
      <c r="E759" t="s">
        <v>366</v>
      </c>
      <c r="F759" s="71" t="s">
        <v>508</v>
      </c>
      <c r="G759" s="71" t="s">
        <v>1013</v>
      </c>
      <c r="H759" s="71" t="s">
        <v>371</v>
      </c>
      <c r="I759" s="71" t="s">
        <v>1054</v>
      </c>
    </row>
    <row r="760" spans="1:9" ht="58" x14ac:dyDescent="0.35">
      <c r="A760">
        <v>5</v>
      </c>
      <c r="B760">
        <v>111</v>
      </c>
      <c r="C760" t="s">
        <v>1169</v>
      </c>
      <c r="D760" s="64">
        <f>VLOOKUP(C760,'CHAS - Cook Co'!$C$1:$J$2762,2,FALSE) - VLOOKUP(C760,'CHAS - Chicago'!$C$1:$J$2762,2,FALSE)</f>
        <v>575</v>
      </c>
      <c r="E760" t="s">
        <v>373</v>
      </c>
      <c r="F760" s="71" t="s">
        <v>508</v>
      </c>
      <c r="G760" s="71" t="s">
        <v>1013</v>
      </c>
      <c r="H760" s="71" t="s">
        <v>371</v>
      </c>
      <c r="I760" s="71" t="s">
        <v>1060</v>
      </c>
    </row>
    <row r="761" spans="1:9" ht="58" x14ac:dyDescent="0.35">
      <c r="A761">
        <v>5</v>
      </c>
      <c r="B761">
        <v>112</v>
      </c>
      <c r="C761" t="s">
        <v>1170</v>
      </c>
      <c r="D761" s="64">
        <f>VLOOKUP(C761,'CHAS - Cook Co'!$C$1:$J$2762,2,FALSE) - VLOOKUP(C761,'CHAS - Chicago'!$C$1:$J$2762,2,FALSE)</f>
        <v>520</v>
      </c>
      <c r="E761" t="s">
        <v>373</v>
      </c>
      <c r="F761" s="71" t="s">
        <v>508</v>
      </c>
      <c r="G761" s="71" t="s">
        <v>1013</v>
      </c>
      <c r="H761" s="71" t="s">
        <v>371</v>
      </c>
      <c r="I761" s="71" t="s">
        <v>1062</v>
      </c>
    </row>
    <row r="762" spans="1:9" ht="58" x14ac:dyDescent="0.35">
      <c r="A762">
        <v>5</v>
      </c>
      <c r="B762">
        <v>113</v>
      </c>
      <c r="C762" t="s">
        <v>1171</v>
      </c>
      <c r="D762" s="64">
        <f>VLOOKUP(C762,'CHAS - Cook Co'!$C$1:$J$2762,2,FALSE) - VLOOKUP(C762,'CHAS - Chicago'!$C$1:$J$2762,2,FALSE)</f>
        <v>7465</v>
      </c>
      <c r="E762" t="s">
        <v>373</v>
      </c>
      <c r="F762" s="71" t="s">
        <v>508</v>
      </c>
      <c r="G762" s="71" t="s">
        <v>1013</v>
      </c>
      <c r="H762" s="71" t="s">
        <v>371</v>
      </c>
      <c r="I762" s="71" t="s">
        <v>1064</v>
      </c>
    </row>
    <row r="763" spans="1:9" ht="58" x14ac:dyDescent="0.35">
      <c r="A763">
        <v>5</v>
      </c>
      <c r="B763">
        <v>114</v>
      </c>
      <c r="C763" t="s">
        <v>1172</v>
      </c>
      <c r="D763" s="64">
        <f>VLOOKUP(C763,'CHAS - Cook Co'!$C$1:$J$2762,2,FALSE) - VLOOKUP(C763,'CHAS - Chicago'!$C$1:$J$2762,2,FALSE)</f>
        <v>0</v>
      </c>
      <c r="E763" t="s">
        <v>366</v>
      </c>
      <c r="F763" s="71" t="s">
        <v>508</v>
      </c>
      <c r="G763" s="71" t="s">
        <v>1013</v>
      </c>
      <c r="H763" s="71" t="s">
        <v>388</v>
      </c>
      <c r="I763" s="71" t="s">
        <v>1054</v>
      </c>
    </row>
    <row r="764" spans="1:9" ht="58" x14ac:dyDescent="0.35">
      <c r="A764">
        <v>5</v>
      </c>
      <c r="B764">
        <v>115</v>
      </c>
      <c r="C764" t="s">
        <v>1173</v>
      </c>
      <c r="D764" s="64">
        <f>VLOOKUP(C764,'CHAS - Cook Co'!$C$1:$J$2762,2,FALSE) - VLOOKUP(C764,'CHAS - Chicago'!$C$1:$J$2762,2,FALSE)</f>
        <v>0</v>
      </c>
      <c r="E764" t="s">
        <v>373</v>
      </c>
      <c r="F764" s="71" t="s">
        <v>508</v>
      </c>
      <c r="G764" s="71" t="s">
        <v>1013</v>
      </c>
      <c r="H764" s="71" t="s">
        <v>388</v>
      </c>
      <c r="I764" s="71" t="s">
        <v>1060</v>
      </c>
    </row>
    <row r="765" spans="1:9" ht="58" x14ac:dyDescent="0.35">
      <c r="A765">
        <v>5</v>
      </c>
      <c r="B765">
        <v>116</v>
      </c>
      <c r="C765" t="s">
        <v>1174</v>
      </c>
      <c r="D765" s="64">
        <f>VLOOKUP(C765,'CHAS - Cook Co'!$C$1:$J$2762,2,FALSE) - VLOOKUP(C765,'CHAS - Chicago'!$C$1:$J$2762,2,FALSE)</f>
        <v>0</v>
      </c>
      <c r="E765" t="s">
        <v>373</v>
      </c>
      <c r="F765" s="71" t="s">
        <v>508</v>
      </c>
      <c r="G765" s="71" t="s">
        <v>1013</v>
      </c>
      <c r="H765" s="71" t="s">
        <v>388</v>
      </c>
      <c r="I765" s="71" t="s">
        <v>1062</v>
      </c>
    </row>
    <row r="766" spans="1:9" ht="58" x14ac:dyDescent="0.35">
      <c r="A766">
        <v>5</v>
      </c>
      <c r="B766">
        <v>117</v>
      </c>
      <c r="C766" t="s">
        <v>1175</v>
      </c>
      <c r="D766" s="64">
        <f>VLOOKUP(C766,'CHAS - Cook Co'!$C$1:$J$2762,2,FALSE) - VLOOKUP(C766,'CHAS - Chicago'!$C$1:$J$2762,2,FALSE)</f>
        <v>0</v>
      </c>
      <c r="E766" t="s">
        <v>373</v>
      </c>
      <c r="F766" s="71" t="s">
        <v>508</v>
      </c>
      <c r="G766" s="71" t="s">
        <v>1013</v>
      </c>
      <c r="H766" s="71" t="s">
        <v>388</v>
      </c>
      <c r="I766" s="71" t="s">
        <v>1064</v>
      </c>
    </row>
    <row r="767" spans="1:9" ht="58" x14ac:dyDescent="0.35">
      <c r="A767">
        <v>5</v>
      </c>
      <c r="B767">
        <v>118</v>
      </c>
      <c r="C767" t="s">
        <v>1176</v>
      </c>
      <c r="D767" s="64">
        <f>VLOOKUP(C767,'CHAS - Cook Co'!$C$1:$J$2762,2,FALSE) - VLOOKUP(C767,'CHAS - Chicago'!$C$1:$J$2762,2,FALSE)</f>
        <v>0</v>
      </c>
      <c r="E767" t="s">
        <v>366</v>
      </c>
      <c r="F767" s="71" t="s">
        <v>508</v>
      </c>
      <c r="G767" s="71" t="s">
        <v>1013</v>
      </c>
      <c r="H767" s="71" t="s">
        <v>397</v>
      </c>
      <c r="I767" s="71" t="s">
        <v>1054</v>
      </c>
    </row>
    <row r="768" spans="1:9" ht="58" x14ac:dyDescent="0.35">
      <c r="A768">
        <v>5</v>
      </c>
      <c r="B768">
        <v>119</v>
      </c>
      <c r="C768" t="s">
        <v>1177</v>
      </c>
      <c r="D768" s="64">
        <f>VLOOKUP(C768,'CHAS - Cook Co'!$C$1:$J$2762,2,FALSE) - VLOOKUP(C768,'CHAS - Chicago'!$C$1:$J$2762,2,FALSE)</f>
        <v>0</v>
      </c>
      <c r="E768" t="s">
        <v>373</v>
      </c>
      <c r="F768" s="71" t="s">
        <v>508</v>
      </c>
      <c r="G768" s="71" t="s">
        <v>1013</v>
      </c>
      <c r="H768" s="71" t="s">
        <v>397</v>
      </c>
      <c r="I768" s="71" t="s">
        <v>1060</v>
      </c>
    </row>
    <row r="769" spans="1:9" ht="58" x14ac:dyDescent="0.35">
      <c r="A769">
        <v>5</v>
      </c>
      <c r="B769">
        <v>120</v>
      </c>
      <c r="C769" t="s">
        <v>1178</v>
      </c>
      <c r="D769" s="64">
        <f>VLOOKUP(C769,'CHAS - Cook Co'!$C$1:$J$2762,2,FALSE) - VLOOKUP(C769,'CHAS - Chicago'!$C$1:$J$2762,2,FALSE)</f>
        <v>0</v>
      </c>
      <c r="E769" t="s">
        <v>373</v>
      </c>
      <c r="F769" s="71" t="s">
        <v>508</v>
      </c>
      <c r="G769" s="71" t="s">
        <v>1013</v>
      </c>
      <c r="H769" s="71" t="s">
        <v>397</v>
      </c>
      <c r="I769" s="71" t="s">
        <v>1062</v>
      </c>
    </row>
    <row r="770" spans="1:9" ht="58" x14ac:dyDescent="0.35">
      <c r="A770">
        <v>5</v>
      </c>
      <c r="B770">
        <v>121</v>
      </c>
      <c r="C770" t="s">
        <v>1179</v>
      </c>
      <c r="D770" s="64">
        <f>VLOOKUP(C770,'CHAS - Cook Co'!$C$1:$J$2762,2,FALSE) - VLOOKUP(C770,'CHAS - Chicago'!$C$1:$J$2762,2,FALSE)</f>
        <v>0</v>
      </c>
      <c r="E770" t="s">
        <v>373</v>
      </c>
      <c r="F770" s="71" t="s">
        <v>508</v>
      </c>
      <c r="G770" s="71" t="s">
        <v>1013</v>
      </c>
      <c r="H770" s="71" t="s">
        <v>397</v>
      </c>
      <c r="I770" s="71" t="s">
        <v>1064</v>
      </c>
    </row>
    <row r="771" spans="1:9" ht="58" x14ac:dyDescent="0.35">
      <c r="A771">
        <v>5</v>
      </c>
      <c r="B771">
        <v>122</v>
      </c>
      <c r="C771" t="s">
        <v>1180</v>
      </c>
      <c r="D771" s="64">
        <f>VLOOKUP(C771,'CHAS - Cook Co'!$C$1:$J$2762,2,FALSE) - VLOOKUP(C771,'CHAS - Chicago'!$C$1:$J$2762,2,FALSE)</f>
        <v>0</v>
      </c>
      <c r="E771" t="s">
        <v>366</v>
      </c>
      <c r="F771" s="71" t="s">
        <v>508</v>
      </c>
      <c r="G771" s="71" t="s">
        <v>1013</v>
      </c>
      <c r="H771" s="71" t="s">
        <v>406</v>
      </c>
      <c r="I771" s="71" t="s">
        <v>1054</v>
      </c>
    </row>
    <row r="772" spans="1:9" ht="58" x14ac:dyDescent="0.35">
      <c r="A772">
        <v>5</v>
      </c>
      <c r="B772">
        <v>123</v>
      </c>
      <c r="C772" t="s">
        <v>1181</v>
      </c>
      <c r="D772" s="64">
        <f>VLOOKUP(C772,'CHAS - Cook Co'!$C$1:$J$2762,2,FALSE) - VLOOKUP(C772,'CHAS - Chicago'!$C$1:$J$2762,2,FALSE)</f>
        <v>0</v>
      </c>
      <c r="E772" t="s">
        <v>373</v>
      </c>
      <c r="F772" s="71" t="s">
        <v>508</v>
      </c>
      <c r="G772" s="71" t="s">
        <v>1013</v>
      </c>
      <c r="H772" s="71" t="s">
        <v>406</v>
      </c>
      <c r="I772" s="71" t="s">
        <v>1060</v>
      </c>
    </row>
    <row r="773" spans="1:9" ht="58" x14ac:dyDescent="0.35">
      <c r="A773">
        <v>5</v>
      </c>
      <c r="B773">
        <v>124</v>
      </c>
      <c r="C773" t="s">
        <v>1182</v>
      </c>
      <c r="D773" s="64">
        <f>VLOOKUP(C773,'CHAS - Cook Co'!$C$1:$J$2762,2,FALSE) - VLOOKUP(C773,'CHAS - Chicago'!$C$1:$J$2762,2,FALSE)</f>
        <v>0</v>
      </c>
      <c r="E773" t="s">
        <v>373</v>
      </c>
      <c r="F773" s="71" t="s">
        <v>508</v>
      </c>
      <c r="G773" s="71" t="s">
        <v>1013</v>
      </c>
      <c r="H773" s="71" t="s">
        <v>406</v>
      </c>
      <c r="I773" s="71" t="s">
        <v>1062</v>
      </c>
    </row>
    <row r="774" spans="1:9" ht="58" x14ac:dyDescent="0.35">
      <c r="A774">
        <v>5</v>
      </c>
      <c r="B774">
        <v>125</v>
      </c>
      <c r="C774" t="s">
        <v>1183</v>
      </c>
      <c r="D774" s="64">
        <f>VLOOKUP(C774,'CHAS - Cook Co'!$C$1:$J$2762,2,FALSE) - VLOOKUP(C774,'CHAS - Chicago'!$C$1:$J$2762,2,FALSE)</f>
        <v>0</v>
      </c>
      <c r="E774" t="s">
        <v>373</v>
      </c>
      <c r="F774" s="71" t="s">
        <v>508</v>
      </c>
      <c r="G774" s="71" t="s">
        <v>1013</v>
      </c>
      <c r="H774" s="71" t="s">
        <v>406</v>
      </c>
      <c r="I774" s="71" t="s">
        <v>1064</v>
      </c>
    </row>
    <row r="775" spans="1:9" ht="58" x14ac:dyDescent="0.35">
      <c r="A775">
        <v>5</v>
      </c>
      <c r="B775">
        <v>126</v>
      </c>
      <c r="C775" t="s">
        <v>1184</v>
      </c>
      <c r="D775" s="64">
        <f>VLOOKUP(C775,'CHAS - Cook Co'!$C$1:$J$2762,2,FALSE) - VLOOKUP(C775,'CHAS - Chicago'!$C$1:$J$2762,2,FALSE)</f>
        <v>0</v>
      </c>
      <c r="E775" t="s">
        <v>366</v>
      </c>
      <c r="F775" s="71" t="s">
        <v>508</v>
      </c>
      <c r="G775" s="71" t="s">
        <v>1013</v>
      </c>
      <c r="H775" s="71" t="s">
        <v>415</v>
      </c>
      <c r="I775" s="71" t="s">
        <v>1054</v>
      </c>
    </row>
    <row r="776" spans="1:9" ht="58" x14ac:dyDescent="0.35">
      <c r="A776">
        <v>5</v>
      </c>
      <c r="B776">
        <v>127</v>
      </c>
      <c r="C776" t="s">
        <v>1185</v>
      </c>
      <c r="D776" s="64">
        <f>VLOOKUP(C776,'CHAS - Cook Co'!$C$1:$J$2762,2,FALSE) - VLOOKUP(C776,'CHAS - Chicago'!$C$1:$J$2762,2,FALSE)</f>
        <v>0</v>
      </c>
      <c r="E776" t="s">
        <v>373</v>
      </c>
      <c r="F776" s="71" t="s">
        <v>508</v>
      </c>
      <c r="G776" s="71" t="s">
        <v>1013</v>
      </c>
      <c r="H776" s="71" t="s">
        <v>415</v>
      </c>
      <c r="I776" s="71" t="s">
        <v>1060</v>
      </c>
    </row>
    <row r="777" spans="1:9" ht="58" x14ac:dyDescent="0.35">
      <c r="A777">
        <v>5</v>
      </c>
      <c r="B777">
        <v>128</v>
      </c>
      <c r="C777" t="s">
        <v>1186</v>
      </c>
      <c r="D777" s="64">
        <f>VLOOKUP(C777,'CHAS - Cook Co'!$C$1:$J$2762,2,FALSE) - VLOOKUP(C777,'CHAS - Chicago'!$C$1:$J$2762,2,FALSE)</f>
        <v>0</v>
      </c>
      <c r="E777" t="s">
        <v>373</v>
      </c>
      <c r="F777" s="71" t="s">
        <v>508</v>
      </c>
      <c r="G777" s="71" t="s">
        <v>1013</v>
      </c>
      <c r="H777" s="71" t="s">
        <v>415</v>
      </c>
      <c r="I777" s="71" t="s">
        <v>1062</v>
      </c>
    </row>
    <row r="778" spans="1:9" ht="58" x14ac:dyDescent="0.35">
      <c r="A778">
        <v>5</v>
      </c>
      <c r="B778">
        <v>129</v>
      </c>
      <c r="C778" t="s">
        <v>1187</v>
      </c>
      <c r="D778" s="64">
        <f>VLOOKUP(C778,'CHAS - Cook Co'!$C$1:$J$2762,2,FALSE) - VLOOKUP(C778,'CHAS - Chicago'!$C$1:$J$2762,2,FALSE)</f>
        <v>0</v>
      </c>
      <c r="E778" t="s">
        <v>373</v>
      </c>
      <c r="F778" s="71" t="s">
        <v>508</v>
      </c>
      <c r="G778" s="71" t="s">
        <v>1013</v>
      </c>
      <c r="H778" s="71" t="s">
        <v>415</v>
      </c>
      <c r="I778" s="71" t="s">
        <v>1064</v>
      </c>
    </row>
    <row r="779" spans="1:9" x14ac:dyDescent="0.35">
      <c r="A779">
        <v>6</v>
      </c>
      <c r="B779">
        <v>1</v>
      </c>
      <c r="C779" t="s">
        <v>1188</v>
      </c>
      <c r="D779" s="64">
        <f>VLOOKUP(C779,'CHAS - Cook Co'!$C$1:$J$2762,2,FALSE) - VLOOKUP(C779,'CHAS - Chicago'!$C$1:$J$2762,2,FALSE)</f>
        <v>909025</v>
      </c>
      <c r="E779" t="s">
        <v>26</v>
      </c>
      <c r="F779" s="71" t="s">
        <v>1189</v>
      </c>
      <c r="G779" s="71" t="s">
        <v>1190</v>
      </c>
      <c r="H779" s="71" t="s">
        <v>363</v>
      </c>
      <c r="I779" s="71" t="s">
        <v>362</v>
      </c>
    </row>
    <row r="780" spans="1:9" ht="43.5" x14ac:dyDescent="0.35">
      <c r="A780">
        <v>6</v>
      </c>
      <c r="B780">
        <v>2</v>
      </c>
      <c r="C780" t="s">
        <v>1191</v>
      </c>
      <c r="D780" s="64">
        <f>VLOOKUP(C780,'CHAS - Cook Co'!$C$1:$J$2762,2,FALSE) - VLOOKUP(C780,'CHAS - Chicago'!$C$1:$J$2762,2,FALSE)</f>
        <v>84630</v>
      </c>
      <c r="E780" t="s">
        <v>1192</v>
      </c>
      <c r="F780" s="71" t="s">
        <v>1193</v>
      </c>
      <c r="G780" s="71" t="s">
        <v>1194</v>
      </c>
      <c r="H780" s="71" t="s">
        <v>363</v>
      </c>
      <c r="I780" s="71" t="s">
        <v>362</v>
      </c>
    </row>
    <row r="781" spans="1:9" ht="43.5" x14ac:dyDescent="0.35">
      <c r="A781">
        <v>6</v>
      </c>
      <c r="B781">
        <v>3</v>
      </c>
      <c r="C781" t="s">
        <v>1195</v>
      </c>
      <c r="D781" s="64">
        <f>VLOOKUP(C781,'CHAS - Cook Co'!$C$1:$J$2762,2,FALSE) - VLOOKUP(C781,'CHAS - Chicago'!$C$1:$J$2762,2,FALSE)</f>
        <v>15570</v>
      </c>
      <c r="E781" t="s">
        <v>1192</v>
      </c>
      <c r="F781" s="71" t="s">
        <v>1193</v>
      </c>
      <c r="G781" s="71" t="s">
        <v>1194</v>
      </c>
      <c r="H781" s="71" t="s">
        <v>1196</v>
      </c>
      <c r="I781" s="71" t="s">
        <v>362</v>
      </c>
    </row>
    <row r="782" spans="1:9" ht="43.5" x14ac:dyDescent="0.35">
      <c r="A782">
        <v>6</v>
      </c>
      <c r="B782">
        <v>4</v>
      </c>
      <c r="C782" t="s">
        <v>1197</v>
      </c>
      <c r="D782" s="64">
        <f>VLOOKUP(C782,'CHAS - Cook Co'!$C$1:$J$2762,2,FALSE) - VLOOKUP(C782,'CHAS - Chicago'!$C$1:$J$2762,2,FALSE)</f>
        <v>12475</v>
      </c>
      <c r="E782" t="s">
        <v>1192</v>
      </c>
      <c r="F782" s="71" t="s">
        <v>1193</v>
      </c>
      <c r="G782" s="71" t="s">
        <v>1194</v>
      </c>
      <c r="H782" s="71" t="s">
        <v>1196</v>
      </c>
      <c r="I782" s="71" t="s">
        <v>1057</v>
      </c>
    </row>
    <row r="783" spans="1:9" ht="43.5" x14ac:dyDescent="0.35">
      <c r="A783">
        <v>6</v>
      </c>
      <c r="B783">
        <v>5</v>
      </c>
      <c r="C783" t="s">
        <v>1198</v>
      </c>
      <c r="D783" s="64">
        <f>VLOOKUP(C783,'CHAS - Cook Co'!$C$1:$J$2762,2,FALSE) - VLOOKUP(C783,'CHAS - Chicago'!$C$1:$J$2762,2,FALSE)</f>
        <v>2160</v>
      </c>
      <c r="E783" t="s">
        <v>1192</v>
      </c>
      <c r="F783" s="71" t="s">
        <v>1193</v>
      </c>
      <c r="G783" s="71" t="s">
        <v>1194</v>
      </c>
      <c r="H783" s="71" t="s">
        <v>1196</v>
      </c>
      <c r="I783" s="71" t="s">
        <v>1082</v>
      </c>
    </row>
    <row r="784" spans="1:9" ht="58" x14ac:dyDescent="0.35">
      <c r="A784">
        <v>6</v>
      </c>
      <c r="B784">
        <v>6</v>
      </c>
      <c r="C784" t="s">
        <v>1199</v>
      </c>
      <c r="D784" s="64">
        <f>VLOOKUP(C784,'CHAS - Cook Co'!$C$1:$J$2762,2,FALSE) - VLOOKUP(C784,'CHAS - Chicago'!$C$1:$J$2762,2,FALSE)</f>
        <v>930</v>
      </c>
      <c r="E784" t="s">
        <v>1192</v>
      </c>
      <c r="F784" s="71" t="s">
        <v>1193</v>
      </c>
      <c r="G784" s="71" t="s">
        <v>1194</v>
      </c>
      <c r="H784" s="71" t="s">
        <v>1196</v>
      </c>
      <c r="I784" s="71" t="s">
        <v>1013</v>
      </c>
    </row>
    <row r="785" spans="1:9" ht="43.5" x14ac:dyDescent="0.35">
      <c r="A785">
        <v>6</v>
      </c>
      <c r="B785">
        <v>7</v>
      </c>
      <c r="C785" t="s">
        <v>1200</v>
      </c>
      <c r="D785" s="64">
        <f>VLOOKUP(C785,'CHAS - Cook Co'!$C$1:$J$2762,2,FALSE) - VLOOKUP(C785,'CHAS - Chicago'!$C$1:$J$2762,2,FALSE)</f>
        <v>15365</v>
      </c>
      <c r="E785" t="s">
        <v>1192</v>
      </c>
      <c r="F785" s="71" t="s">
        <v>1193</v>
      </c>
      <c r="G785" s="71" t="s">
        <v>1194</v>
      </c>
      <c r="H785" s="71" t="s">
        <v>1201</v>
      </c>
      <c r="I785" s="71" t="s">
        <v>362</v>
      </c>
    </row>
    <row r="786" spans="1:9" ht="43.5" x14ac:dyDescent="0.35">
      <c r="A786">
        <v>6</v>
      </c>
      <c r="B786">
        <v>8</v>
      </c>
      <c r="C786" t="s">
        <v>1202</v>
      </c>
      <c r="D786" s="64">
        <f>VLOOKUP(C786,'CHAS - Cook Co'!$C$1:$J$2762,2,FALSE) - VLOOKUP(C786,'CHAS - Chicago'!$C$1:$J$2762,2,FALSE)</f>
        <v>10580</v>
      </c>
      <c r="E786" t="s">
        <v>1192</v>
      </c>
      <c r="F786" s="71" t="s">
        <v>1193</v>
      </c>
      <c r="G786" s="71" t="s">
        <v>1194</v>
      </c>
      <c r="H786" s="71" t="s">
        <v>1201</v>
      </c>
      <c r="I786" s="71" t="s">
        <v>1057</v>
      </c>
    </row>
    <row r="787" spans="1:9" ht="43.5" x14ac:dyDescent="0.35">
      <c r="A787">
        <v>6</v>
      </c>
      <c r="B787">
        <v>9</v>
      </c>
      <c r="C787" t="s">
        <v>1203</v>
      </c>
      <c r="D787" s="64">
        <f>VLOOKUP(C787,'CHAS - Cook Co'!$C$1:$J$2762,2,FALSE) - VLOOKUP(C787,'CHAS - Chicago'!$C$1:$J$2762,2,FALSE)</f>
        <v>4785</v>
      </c>
      <c r="E787" t="s">
        <v>1192</v>
      </c>
      <c r="F787" s="71" t="s">
        <v>1193</v>
      </c>
      <c r="G787" s="71" t="s">
        <v>1194</v>
      </c>
      <c r="H787" s="71" t="s">
        <v>1201</v>
      </c>
      <c r="I787" s="71" t="s">
        <v>1082</v>
      </c>
    </row>
    <row r="788" spans="1:9" ht="58" x14ac:dyDescent="0.35">
      <c r="A788">
        <v>6</v>
      </c>
      <c r="B788">
        <v>10</v>
      </c>
      <c r="C788" t="s">
        <v>1204</v>
      </c>
      <c r="D788" s="64">
        <f>VLOOKUP(C788,'CHAS - Cook Co'!$C$1:$J$2762,2,FALSE) - VLOOKUP(C788,'CHAS - Chicago'!$C$1:$J$2762,2,FALSE)</f>
        <v>0</v>
      </c>
      <c r="E788" t="s">
        <v>1192</v>
      </c>
      <c r="F788" s="71" t="s">
        <v>1193</v>
      </c>
      <c r="G788" s="71" t="s">
        <v>1194</v>
      </c>
      <c r="H788" s="71" t="s">
        <v>1201</v>
      </c>
      <c r="I788" s="71" t="s">
        <v>1013</v>
      </c>
    </row>
    <row r="789" spans="1:9" ht="43.5" x14ac:dyDescent="0.35">
      <c r="A789">
        <v>6</v>
      </c>
      <c r="B789">
        <v>11</v>
      </c>
      <c r="C789" t="s">
        <v>1205</v>
      </c>
      <c r="D789" s="64">
        <f>VLOOKUP(C789,'CHAS - Cook Co'!$C$1:$J$2762,2,FALSE) - VLOOKUP(C789,'CHAS - Chicago'!$C$1:$J$2762,2,FALSE)</f>
        <v>16440</v>
      </c>
      <c r="E789" t="s">
        <v>1192</v>
      </c>
      <c r="F789" s="71" t="s">
        <v>1193</v>
      </c>
      <c r="G789" s="71" t="s">
        <v>1194</v>
      </c>
      <c r="H789" s="71" t="s">
        <v>1206</v>
      </c>
      <c r="I789" s="71" t="s">
        <v>362</v>
      </c>
    </row>
    <row r="790" spans="1:9" ht="43.5" x14ac:dyDescent="0.35">
      <c r="A790">
        <v>6</v>
      </c>
      <c r="B790">
        <v>12</v>
      </c>
      <c r="C790" t="s">
        <v>1207</v>
      </c>
      <c r="D790" s="64">
        <f>VLOOKUP(C790,'CHAS - Cook Co'!$C$1:$J$2762,2,FALSE) - VLOOKUP(C790,'CHAS - Chicago'!$C$1:$J$2762,2,FALSE)</f>
        <v>7125</v>
      </c>
      <c r="E790" t="s">
        <v>1192</v>
      </c>
      <c r="F790" s="71" t="s">
        <v>1193</v>
      </c>
      <c r="G790" s="71" t="s">
        <v>1194</v>
      </c>
      <c r="H790" s="71" t="s">
        <v>1206</v>
      </c>
      <c r="I790" s="71" t="s">
        <v>1057</v>
      </c>
    </row>
    <row r="791" spans="1:9" ht="43.5" x14ac:dyDescent="0.35">
      <c r="A791">
        <v>6</v>
      </c>
      <c r="B791">
        <v>13</v>
      </c>
      <c r="C791" t="s">
        <v>1208</v>
      </c>
      <c r="D791" s="64">
        <f>VLOOKUP(C791,'CHAS - Cook Co'!$C$1:$J$2762,2,FALSE) - VLOOKUP(C791,'CHAS - Chicago'!$C$1:$J$2762,2,FALSE)</f>
        <v>9310</v>
      </c>
      <c r="E791" t="s">
        <v>1192</v>
      </c>
      <c r="F791" s="71" t="s">
        <v>1193</v>
      </c>
      <c r="G791" s="71" t="s">
        <v>1194</v>
      </c>
      <c r="H791" s="71" t="s">
        <v>1206</v>
      </c>
      <c r="I791" s="71" t="s">
        <v>1082</v>
      </c>
    </row>
    <row r="792" spans="1:9" ht="58" x14ac:dyDescent="0.35">
      <c r="A792">
        <v>6</v>
      </c>
      <c r="B792">
        <v>14</v>
      </c>
      <c r="C792" t="s">
        <v>1209</v>
      </c>
      <c r="D792" s="64">
        <f>VLOOKUP(C792,'CHAS - Cook Co'!$C$1:$J$2762,2,FALSE) - VLOOKUP(C792,'CHAS - Chicago'!$C$1:$J$2762,2,FALSE)</f>
        <v>0</v>
      </c>
      <c r="E792" t="s">
        <v>1192</v>
      </c>
      <c r="F792" s="71" t="s">
        <v>1193</v>
      </c>
      <c r="G792" s="71" t="s">
        <v>1194</v>
      </c>
      <c r="H792" s="71" t="s">
        <v>1206</v>
      </c>
      <c r="I792" s="71" t="s">
        <v>1013</v>
      </c>
    </row>
    <row r="793" spans="1:9" ht="43.5" x14ac:dyDescent="0.35">
      <c r="A793">
        <v>6</v>
      </c>
      <c r="B793">
        <v>15</v>
      </c>
      <c r="C793" t="s">
        <v>1210</v>
      </c>
      <c r="D793" s="64">
        <f>VLOOKUP(C793,'CHAS - Cook Co'!$C$1:$J$2762,2,FALSE) - VLOOKUP(C793,'CHAS - Chicago'!$C$1:$J$2762,2,FALSE)</f>
        <v>37255</v>
      </c>
      <c r="E793" t="s">
        <v>1192</v>
      </c>
      <c r="F793" s="71" t="s">
        <v>1193</v>
      </c>
      <c r="G793" s="71" t="s">
        <v>1194</v>
      </c>
      <c r="H793" s="71" t="s">
        <v>1211</v>
      </c>
      <c r="I793" s="71" t="s">
        <v>362</v>
      </c>
    </row>
    <row r="794" spans="1:9" ht="43.5" x14ac:dyDescent="0.35">
      <c r="A794">
        <v>6</v>
      </c>
      <c r="B794">
        <v>16</v>
      </c>
      <c r="C794" t="s">
        <v>1212</v>
      </c>
      <c r="D794" s="64">
        <f>VLOOKUP(C794,'CHAS - Cook Co'!$C$1:$J$2762,2,FALSE) - VLOOKUP(C794,'CHAS - Chicago'!$C$1:$J$2762,2,FALSE)</f>
        <v>5715</v>
      </c>
      <c r="E794" t="s">
        <v>1192</v>
      </c>
      <c r="F794" s="71" t="s">
        <v>1193</v>
      </c>
      <c r="G794" s="71" t="s">
        <v>1194</v>
      </c>
      <c r="H794" s="71" t="s">
        <v>1211</v>
      </c>
      <c r="I794" s="71" t="s">
        <v>1057</v>
      </c>
    </row>
    <row r="795" spans="1:9" ht="43.5" x14ac:dyDescent="0.35">
      <c r="A795">
        <v>6</v>
      </c>
      <c r="B795">
        <v>17</v>
      </c>
      <c r="C795" t="s">
        <v>1213</v>
      </c>
      <c r="D795" s="64">
        <f>VLOOKUP(C795,'CHAS - Cook Co'!$C$1:$J$2762,2,FALSE) - VLOOKUP(C795,'CHAS - Chicago'!$C$1:$J$2762,2,FALSE)</f>
        <v>31540</v>
      </c>
      <c r="E795" t="s">
        <v>1192</v>
      </c>
      <c r="F795" s="71" t="s">
        <v>1193</v>
      </c>
      <c r="G795" s="71" t="s">
        <v>1194</v>
      </c>
      <c r="H795" s="71" t="s">
        <v>1211</v>
      </c>
      <c r="I795" s="71" t="s">
        <v>1082</v>
      </c>
    </row>
    <row r="796" spans="1:9" ht="58" x14ac:dyDescent="0.35">
      <c r="A796">
        <v>6</v>
      </c>
      <c r="B796">
        <v>18</v>
      </c>
      <c r="C796" t="s">
        <v>1214</v>
      </c>
      <c r="D796" s="64">
        <f>VLOOKUP(C796,'CHAS - Cook Co'!$C$1:$J$2762,2,FALSE) - VLOOKUP(C796,'CHAS - Chicago'!$C$1:$J$2762,2,FALSE)</f>
        <v>0</v>
      </c>
      <c r="E796" t="s">
        <v>1192</v>
      </c>
      <c r="F796" s="71" t="s">
        <v>1193</v>
      </c>
      <c r="G796" s="71" t="s">
        <v>1194</v>
      </c>
      <c r="H796" s="71" t="s">
        <v>1211</v>
      </c>
      <c r="I796" s="71" t="s">
        <v>1013</v>
      </c>
    </row>
    <row r="797" spans="1:9" ht="43.5" x14ac:dyDescent="0.35">
      <c r="A797">
        <v>6</v>
      </c>
      <c r="B797">
        <v>19</v>
      </c>
      <c r="C797" t="s">
        <v>1215</v>
      </c>
      <c r="D797" s="64">
        <f>VLOOKUP(C797,'CHAS - Cook Co'!$C$1:$J$2762,2,FALSE) - VLOOKUP(C797,'CHAS - Chicago'!$C$1:$J$2762,2,FALSE)</f>
        <v>117030</v>
      </c>
      <c r="E797" t="s">
        <v>1192</v>
      </c>
      <c r="F797" s="71" t="s">
        <v>1193</v>
      </c>
      <c r="G797" s="71" t="s">
        <v>1216</v>
      </c>
      <c r="H797" s="71" t="s">
        <v>363</v>
      </c>
      <c r="I797" s="71" t="s">
        <v>362</v>
      </c>
    </row>
    <row r="798" spans="1:9" ht="43.5" x14ac:dyDescent="0.35">
      <c r="A798">
        <v>6</v>
      </c>
      <c r="B798">
        <v>20</v>
      </c>
      <c r="C798" t="s">
        <v>1217</v>
      </c>
      <c r="D798" s="64">
        <f>VLOOKUP(C798,'CHAS - Cook Co'!$C$1:$J$2762,2,FALSE) - VLOOKUP(C798,'CHAS - Chicago'!$C$1:$J$2762,2,FALSE)</f>
        <v>26465</v>
      </c>
      <c r="E798" t="s">
        <v>1192</v>
      </c>
      <c r="F798" s="71" t="s">
        <v>1193</v>
      </c>
      <c r="G798" s="71" t="s">
        <v>1216</v>
      </c>
      <c r="H798" s="71" t="s">
        <v>1196</v>
      </c>
      <c r="I798" s="71" t="s">
        <v>362</v>
      </c>
    </row>
    <row r="799" spans="1:9" ht="43.5" x14ac:dyDescent="0.35">
      <c r="A799">
        <v>6</v>
      </c>
      <c r="B799">
        <v>21</v>
      </c>
      <c r="C799" t="s">
        <v>1218</v>
      </c>
      <c r="D799" s="64">
        <f>VLOOKUP(C799,'CHAS - Cook Co'!$C$1:$J$2762,2,FALSE) - VLOOKUP(C799,'CHAS - Chicago'!$C$1:$J$2762,2,FALSE)</f>
        <v>21160</v>
      </c>
      <c r="E799" t="s">
        <v>1192</v>
      </c>
      <c r="F799" s="71" t="s">
        <v>1193</v>
      </c>
      <c r="G799" s="71" t="s">
        <v>1216</v>
      </c>
      <c r="H799" s="71" t="s">
        <v>1196</v>
      </c>
      <c r="I799" s="71" t="s">
        <v>1057</v>
      </c>
    </row>
    <row r="800" spans="1:9" ht="43.5" x14ac:dyDescent="0.35">
      <c r="A800">
        <v>6</v>
      </c>
      <c r="B800">
        <v>22</v>
      </c>
      <c r="C800" t="s">
        <v>1219</v>
      </c>
      <c r="D800" s="64">
        <f>VLOOKUP(C800,'CHAS - Cook Co'!$C$1:$J$2762,2,FALSE) - VLOOKUP(C800,'CHAS - Chicago'!$C$1:$J$2762,2,FALSE)</f>
        <v>3625</v>
      </c>
      <c r="E800" t="s">
        <v>1192</v>
      </c>
      <c r="F800" s="71" t="s">
        <v>1193</v>
      </c>
      <c r="G800" s="71" t="s">
        <v>1216</v>
      </c>
      <c r="H800" s="71" t="s">
        <v>1196</v>
      </c>
      <c r="I800" s="71" t="s">
        <v>1082</v>
      </c>
    </row>
    <row r="801" spans="1:9" ht="58" x14ac:dyDescent="0.35">
      <c r="A801">
        <v>6</v>
      </c>
      <c r="B801">
        <v>23</v>
      </c>
      <c r="C801" t="s">
        <v>1220</v>
      </c>
      <c r="D801" s="64">
        <f>VLOOKUP(C801,'CHAS - Cook Co'!$C$1:$J$2762,2,FALSE) - VLOOKUP(C801,'CHAS - Chicago'!$C$1:$J$2762,2,FALSE)</f>
        <v>1680</v>
      </c>
      <c r="E801" t="s">
        <v>1192</v>
      </c>
      <c r="F801" s="71" t="s">
        <v>1193</v>
      </c>
      <c r="G801" s="71" t="s">
        <v>1216</v>
      </c>
      <c r="H801" s="71" t="s">
        <v>1196</v>
      </c>
      <c r="I801" s="71" t="s">
        <v>1013</v>
      </c>
    </row>
    <row r="802" spans="1:9" ht="43.5" x14ac:dyDescent="0.35">
      <c r="A802">
        <v>6</v>
      </c>
      <c r="B802">
        <v>24</v>
      </c>
      <c r="C802" t="s">
        <v>1221</v>
      </c>
      <c r="D802" s="64">
        <f>VLOOKUP(C802,'CHAS - Cook Co'!$C$1:$J$2762,2,FALSE) - VLOOKUP(C802,'CHAS - Chicago'!$C$1:$J$2762,2,FALSE)</f>
        <v>22515</v>
      </c>
      <c r="E802" t="s">
        <v>1192</v>
      </c>
      <c r="F802" s="71" t="s">
        <v>1193</v>
      </c>
      <c r="G802" s="71" t="s">
        <v>1216</v>
      </c>
      <c r="H802" s="71" t="s">
        <v>1201</v>
      </c>
      <c r="I802" s="71" t="s">
        <v>362</v>
      </c>
    </row>
    <row r="803" spans="1:9" ht="43.5" x14ac:dyDescent="0.35">
      <c r="A803">
        <v>6</v>
      </c>
      <c r="B803">
        <v>25</v>
      </c>
      <c r="C803" t="s">
        <v>1222</v>
      </c>
      <c r="D803" s="64">
        <f>VLOOKUP(C803,'CHAS - Cook Co'!$C$1:$J$2762,2,FALSE) - VLOOKUP(C803,'CHAS - Chicago'!$C$1:$J$2762,2,FALSE)</f>
        <v>16265</v>
      </c>
      <c r="E803" t="s">
        <v>1192</v>
      </c>
      <c r="F803" s="71" t="s">
        <v>1193</v>
      </c>
      <c r="G803" s="71" t="s">
        <v>1216</v>
      </c>
      <c r="H803" s="71" t="s">
        <v>1201</v>
      </c>
      <c r="I803" s="71" t="s">
        <v>1057</v>
      </c>
    </row>
    <row r="804" spans="1:9" ht="43.5" x14ac:dyDescent="0.35">
      <c r="A804">
        <v>6</v>
      </c>
      <c r="B804">
        <v>26</v>
      </c>
      <c r="C804" t="s">
        <v>1223</v>
      </c>
      <c r="D804" s="64">
        <f>VLOOKUP(C804,'CHAS - Cook Co'!$C$1:$J$2762,2,FALSE) - VLOOKUP(C804,'CHAS - Chicago'!$C$1:$J$2762,2,FALSE)</f>
        <v>6250</v>
      </c>
      <c r="E804" t="s">
        <v>1192</v>
      </c>
      <c r="F804" s="71" t="s">
        <v>1193</v>
      </c>
      <c r="G804" s="71" t="s">
        <v>1216</v>
      </c>
      <c r="H804" s="71" t="s">
        <v>1201</v>
      </c>
      <c r="I804" s="71" t="s">
        <v>1082</v>
      </c>
    </row>
    <row r="805" spans="1:9" ht="58" x14ac:dyDescent="0.35">
      <c r="A805">
        <v>6</v>
      </c>
      <c r="B805">
        <v>27</v>
      </c>
      <c r="C805" t="s">
        <v>1224</v>
      </c>
      <c r="D805" s="64">
        <f>VLOOKUP(C805,'CHAS - Cook Co'!$C$1:$J$2762,2,FALSE) - VLOOKUP(C805,'CHAS - Chicago'!$C$1:$J$2762,2,FALSE)</f>
        <v>0</v>
      </c>
      <c r="E805" t="s">
        <v>1192</v>
      </c>
      <c r="F805" s="71" t="s">
        <v>1193</v>
      </c>
      <c r="G805" s="71" t="s">
        <v>1216</v>
      </c>
      <c r="H805" s="71" t="s">
        <v>1201</v>
      </c>
      <c r="I805" s="71" t="s">
        <v>1013</v>
      </c>
    </row>
    <row r="806" spans="1:9" ht="43.5" x14ac:dyDescent="0.35">
      <c r="A806">
        <v>6</v>
      </c>
      <c r="B806">
        <v>28</v>
      </c>
      <c r="C806" t="s">
        <v>1225</v>
      </c>
      <c r="D806" s="64">
        <f>VLOOKUP(C806,'CHAS - Cook Co'!$C$1:$J$2762,2,FALSE) - VLOOKUP(C806,'CHAS - Chicago'!$C$1:$J$2762,2,FALSE)</f>
        <v>22345</v>
      </c>
      <c r="E806" t="s">
        <v>1192</v>
      </c>
      <c r="F806" s="71" t="s">
        <v>1193</v>
      </c>
      <c r="G806" s="71" t="s">
        <v>1216</v>
      </c>
      <c r="H806" s="71" t="s">
        <v>1206</v>
      </c>
      <c r="I806" s="71" t="s">
        <v>362</v>
      </c>
    </row>
    <row r="807" spans="1:9" ht="43.5" x14ac:dyDescent="0.35">
      <c r="A807">
        <v>6</v>
      </c>
      <c r="B807">
        <v>29</v>
      </c>
      <c r="C807" t="s">
        <v>1226</v>
      </c>
      <c r="D807" s="64">
        <f>VLOOKUP(C807,'CHAS - Cook Co'!$C$1:$J$2762,2,FALSE) - VLOOKUP(C807,'CHAS - Chicago'!$C$1:$J$2762,2,FALSE)</f>
        <v>9590</v>
      </c>
      <c r="E807" t="s">
        <v>1192</v>
      </c>
      <c r="F807" s="71" t="s">
        <v>1193</v>
      </c>
      <c r="G807" s="71" t="s">
        <v>1216</v>
      </c>
      <c r="H807" s="71" t="s">
        <v>1206</v>
      </c>
      <c r="I807" s="71" t="s">
        <v>1057</v>
      </c>
    </row>
    <row r="808" spans="1:9" ht="43.5" x14ac:dyDescent="0.35">
      <c r="A808">
        <v>6</v>
      </c>
      <c r="B808">
        <v>30</v>
      </c>
      <c r="C808" t="s">
        <v>1227</v>
      </c>
      <c r="D808" s="64">
        <f>VLOOKUP(C808,'CHAS - Cook Co'!$C$1:$J$2762,2,FALSE) - VLOOKUP(C808,'CHAS - Chicago'!$C$1:$J$2762,2,FALSE)</f>
        <v>12755</v>
      </c>
      <c r="E808" t="s">
        <v>1192</v>
      </c>
      <c r="F808" s="71" t="s">
        <v>1193</v>
      </c>
      <c r="G808" s="71" t="s">
        <v>1216</v>
      </c>
      <c r="H808" s="71" t="s">
        <v>1206</v>
      </c>
      <c r="I808" s="71" t="s">
        <v>1082</v>
      </c>
    </row>
    <row r="809" spans="1:9" ht="58" x14ac:dyDescent="0.35">
      <c r="A809">
        <v>6</v>
      </c>
      <c r="B809">
        <v>31</v>
      </c>
      <c r="C809" t="s">
        <v>1228</v>
      </c>
      <c r="D809" s="64">
        <f>VLOOKUP(C809,'CHAS - Cook Co'!$C$1:$J$2762,2,FALSE) - VLOOKUP(C809,'CHAS - Chicago'!$C$1:$J$2762,2,FALSE)</f>
        <v>0</v>
      </c>
      <c r="E809" t="s">
        <v>1192</v>
      </c>
      <c r="F809" s="71" t="s">
        <v>1193</v>
      </c>
      <c r="G809" s="71" t="s">
        <v>1216</v>
      </c>
      <c r="H809" s="71" t="s">
        <v>1206</v>
      </c>
      <c r="I809" s="71" t="s">
        <v>1013</v>
      </c>
    </row>
    <row r="810" spans="1:9" ht="43.5" x14ac:dyDescent="0.35">
      <c r="A810">
        <v>6</v>
      </c>
      <c r="B810">
        <v>32</v>
      </c>
      <c r="C810" t="s">
        <v>1229</v>
      </c>
      <c r="D810" s="64">
        <f>VLOOKUP(C810,'CHAS - Cook Co'!$C$1:$J$2762,2,FALSE) - VLOOKUP(C810,'CHAS - Chicago'!$C$1:$J$2762,2,FALSE)</f>
        <v>45705</v>
      </c>
      <c r="E810" t="s">
        <v>1192</v>
      </c>
      <c r="F810" s="71" t="s">
        <v>1193</v>
      </c>
      <c r="G810" s="71" t="s">
        <v>1216</v>
      </c>
      <c r="H810" s="71" t="s">
        <v>1211</v>
      </c>
      <c r="I810" s="71" t="s">
        <v>362</v>
      </c>
    </row>
    <row r="811" spans="1:9" ht="43.5" x14ac:dyDescent="0.35">
      <c r="A811">
        <v>6</v>
      </c>
      <c r="B811">
        <v>33</v>
      </c>
      <c r="C811" t="s">
        <v>1230</v>
      </c>
      <c r="D811" s="64">
        <f>VLOOKUP(C811,'CHAS - Cook Co'!$C$1:$J$2762,2,FALSE) - VLOOKUP(C811,'CHAS - Chicago'!$C$1:$J$2762,2,FALSE)</f>
        <v>7380</v>
      </c>
      <c r="E811" t="s">
        <v>1192</v>
      </c>
      <c r="F811" s="71" t="s">
        <v>1193</v>
      </c>
      <c r="G811" s="71" t="s">
        <v>1216</v>
      </c>
      <c r="H811" s="71" t="s">
        <v>1211</v>
      </c>
      <c r="I811" s="71" t="s">
        <v>1057</v>
      </c>
    </row>
    <row r="812" spans="1:9" ht="43.5" x14ac:dyDescent="0.35">
      <c r="A812">
        <v>6</v>
      </c>
      <c r="B812">
        <v>34</v>
      </c>
      <c r="C812" t="s">
        <v>1231</v>
      </c>
      <c r="D812" s="64">
        <f>VLOOKUP(C812,'CHAS - Cook Co'!$C$1:$J$2762,2,FALSE) - VLOOKUP(C812,'CHAS - Chicago'!$C$1:$J$2762,2,FALSE)</f>
        <v>38325</v>
      </c>
      <c r="E812" t="s">
        <v>1192</v>
      </c>
      <c r="F812" s="71" t="s">
        <v>1193</v>
      </c>
      <c r="G812" s="71" t="s">
        <v>1216</v>
      </c>
      <c r="H812" s="71" t="s">
        <v>1211</v>
      </c>
      <c r="I812" s="71" t="s">
        <v>1082</v>
      </c>
    </row>
    <row r="813" spans="1:9" ht="58" x14ac:dyDescent="0.35">
      <c r="A813">
        <v>6</v>
      </c>
      <c r="B813">
        <v>35</v>
      </c>
      <c r="C813" t="s">
        <v>1232</v>
      </c>
      <c r="D813" s="64">
        <f>VLOOKUP(C813,'CHAS - Cook Co'!$C$1:$J$2762,2,FALSE) - VLOOKUP(C813,'CHAS - Chicago'!$C$1:$J$2762,2,FALSE)</f>
        <v>0</v>
      </c>
      <c r="E813" t="s">
        <v>1192</v>
      </c>
      <c r="F813" s="71" t="s">
        <v>1193</v>
      </c>
      <c r="G813" s="71" t="s">
        <v>1216</v>
      </c>
      <c r="H813" s="71" t="s">
        <v>1211</v>
      </c>
      <c r="I813" s="71" t="s">
        <v>1013</v>
      </c>
    </row>
    <row r="814" spans="1:9" ht="29" x14ac:dyDescent="0.35">
      <c r="A814">
        <v>6</v>
      </c>
      <c r="B814">
        <v>36</v>
      </c>
      <c r="C814" t="s">
        <v>1233</v>
      </c>
      <c r="D814" s="64">
        <f>VLOOKUP(C814,'CHAS - Cook Co'!$C$1:$J$2762,2,FALSE) - VLOOKUP(C814,'CHAS - Chicago'!$C$1:$J$2762,2,FALSE)</f>
        <v>66715</v>
      </c>
      <c r="E814" t="s">
        <v>1192</v>
      </c>
      <c r="F814" s="71" t="s">
        <v>1193</v>
      </c>
      <c r="G814" s="71" t="s">
        <v>1234</v>
      </c>
      <c r="H814" s="71" t="s">
        <v>363</v>
      </c>
      <c r="I814" s="71" t="s">
        <v>362</v>
      </c>
    </row>
    <row r="815" spans="1:9" ht="43.5" x14ac:dyDescent="0.35">
      <c r="A815">
        <v>6</v>
      </c>
      <c r="B815">
        <v>37</v>
      </c>
      <c r="C815" t="s">
        <v>1235</v>
      </c>
      <c r="D815" s="64">
        <f>VLOOKUP(C815,'CHAS - Cook Co'!$C$1:$J$2762,2,FALSE) - VLOOKUP(C815,'CHAS - Chicago'!$C$1:$J$2762,2,FALSE)</f>
        <v>15300</v>
      </c>
      <c r="E815" t="s">
        <v>1192</v>
      </c>
      <c r="F815" s="71" t="s">
        <v>1193</v>
      </c>
      <c r="G815" s="71" t="s">
        <v>1234</v>
      </c>
      <c r="H815" s="71" t="s">
        <v>1196</v>
      </c>
      <c r="I815" s="71" t="s">
        <v>362</v>
      </c>
    </row>
    <row r="816" spans="1:9" ht="43.5" x14ac:dyDescent="0.35">
      <c r="A816">
        <v>6</v>
      </c>
      <c r="B816">
        <v>38</v>
      </c>
      <c r="C816" t="s">
        <v>1236</v>
      </c>
      <c r="D816" s="64">
        <f>VLOOKUP(C816,'CHAS - Cook Co'!$C$1:$J$2762,2,FALSE) - VLOOKUP(C816,'CHAS - Chicago'!$C$1:$J$2762,2,FALSE)</f>
        <v>12415</v>
      </c>
      <c r="E816" t="s">
        <v>1192</v>
      </c>
      <c r="F816" s="71" t="s">
        <v>1193</v>
      </c>
      <c r="G816" s="71" t="s">
        <v>1234</v>
      </c>
      <c r="H816" s="71" t="s">
        <v>1196</v>
      </c>
      <c r="I816" s="71" t="s">
        <v>1057</v>
      </c>
    </row>
    <row r="817" spans="1:9" ht="43.5" x14ac:dyDescent="0.35">
      <c r="A817">
        <v>6</v>
      </c>
      <c r="B817">
        <v>39</v>
      </c>
      <c r="C817" t="s">
        <v>1237</v>
      </c>
      <c r="D817" s="64">
        <f>VLOOKUP(C817,'CHAS - Cook Co'!$C$1:$J$2762,2,FALSE) - VLOOKUP(C817,'CHAS - Chicago'!$C$1:$J$2762,2,FALSE)</f>
        <v>1700</v>
      </c>
      <c r="E817" t="s">
        <v>1192</v>
      </c>
      <c r="F817" s="71" t="s">
        <v>1193</v>
      </c>
      <c r="G817" s="71" t="s">
        <v>1234</v>
      </c>
      <c r="H817" s="71" t="s">
        <v>1196</v>
      </c>
      <c r="I817" s="71" t="s">
        <v>1082</v>
      </c>
    </row>
    <row r="818" spans="1:9" ht="58" x14ac:dyDescent="0.35">
      <c r="A818">
        <v>6</v>
      </c>
      <c r="B818">
        <v>40</v>
      </c>
      <c r="C818" t="s">
        <v>1238</v>
      </c>
      <c r="D818" s="64">
        <f>VLOOKUP(C818,'CHAS - Cook Co'!$C$1:$J$2762,2,FALSE) - VLOOKUP(C818,'CHAS - Chicago'!$C$1:$J$2762,2,FALSE)</f>
        <v>1190</v>
      </c>
      <c r="E818" t="s">
        <v>1192</v>
      </c>
      <c r="F818" s="71" t="s">
        <v>1193</v>
      </c>
      <c r="G818" s="71" t="s">
        <v>1234</v>
      </c>
      <c r="H818" s="71" t="s">
        <v>1196</v>
      </c>
      <c r="I818" s="71" t="s">
        <v>1013</v>
      </c>
    </row>
    <row r="819" spans="1:9" ht="43.5" x14ac:dyDescent="0.35">
      <c r="A819">
        <v>6</v>
      </c>
      <c r="B819">
        <v>41</v>
      </c>
      <c r="C819" t="s">
        <v>1239</v>
      </c>
      <c r="D819" s="64">
        <f>VLOOKUP(C819,'CHAS - Cook Co'!$C$1:$J$2762,2,FALSE) - VLOOKUP(C819,'CHAS - Chicago'!$C$1:$J$2762,2,FALSE)</f>
        <v>11315</v>
      </c>
      <c r="E819" t="s">
        <v>1192</v>
      </c>
      <c r="F819" s="71" t="s">
        <v>1193</v>
      </c>
      <c r="G819" s="71" t="s">
        <v>1234</v>
      </c>
      <c r="H819" s="71" t="s">
        <v>1201</v>
      </c>
      <c r="I819" s="71" t="s">
        <v>362</v>
      </c>
    </row>
    <row r="820" spans="1:9" ht="43.5" x14ac:dyDescent="0.35">
      <c r="A820">
        <v>6</v>
      </c>
      <c r="B820">
        <v>42</v>
      </c>
      <c r="C820" t="s">
        <v>1240</v>
      </c>
      <c r="D820" s="64">
        <f>VLOOKUP(C820,'CHAS - Cook Co'!$C$1:$J$2762,2,FALSE) - VLOOKUP(C820,'CHAS - Chicago'!$C$1:$J$2762,2,FALSE)</f>
        <v>8555</v>
      </c>
      <c r="E820" t="s">
        <v>1192</v>
      </c>
      <c r="F820" s="71" t="s">
        <v>1193</v>
      </c>
      <c r="G820" s="71" t="s">
        <v>1234</v>
      </c>
      <c r="H820" s="71" t="s">
        <v>1201</v>
      </c>
      <c r="I820" s="71" t="s">
        <v>1057</v>
      </c>
    </row>
    <row r="821" spans="1:9" ht="43.5" x14ac:dyDescent="0.35">
      <c r="A821">
        <v>6</v>
      </c>
      <c r="B821">
        <v>43</v>
      </c>
      <c r="C821" t="s">
        <v>1241</v>
      </c>
      <c r="D821" s="64">
        <f>VLOOKUP(C821,'CHAS - Cook Co'!$C$1:$J$2762,2,FALSE) - VLOOKUP(C821,'CHAS - Chicago'!$C$1:$J$2762,2,FALSE)</f>
        <v>2760</v>
      </c>
      <c r="E821" t="s">
        <v>1192</v>
      </c>
      <c r="F821" s="71" t="s">
        <v>1193</v>
      </c>
      <c r="G821" s="71" t="s">
        <v>1234</v>
      </c>
      <c r="H821" s="71" t="s">
        <v>1201</v>
      </c>
      <c r="I821" s="71" t="s">
        <v>1082</v>
      </c>
    </row>
    <row r="822" spans="1:9" ht="58" x14ac:dyDescent="0.35">
      <c r="A822">
        <v>6</v>
      </c>
      <c r="B822">
        <v>44</v>
      </c>
      <c r="C822" t="s">
        <v>1242</v>
      </c>
      <c r="D822" s="64">
        <f>VLOOKUP(C822,'CHAS - Cook Co'!$C$1:$J$2762,2,FALSE) - VLOOKUP(C822,'CHAS - Chicago'!$C$1:$J$2762,2,FALSE)</f>
        <v>0</v>
      </c>
      <c r="E822" t="s">
        <v>1192</v>
      </c>
      <c r="F822" s="71" t="s">
        <v>1193</v>
      </c>
      <c r="G822" s="71" t="s">
        <v>1234</v>
      </c>
      <c r="H822" s="71" t="s">
        <v>1201</v>
      </c>
      <c r="I822" s="71" t="s">
        <v>1013</v>
      </c>
    </row>
    <row r="823" spans="1:9" ht="43.5" x14ac:dyDescent="0.35">
      <c r="A823">
        <v>6</v>
      </c>
      <c r="B823">
        <v>45</v>
      </c>
      <c r="C823" t="s">
        <v>1243</v>
      </c>
      <c r="D823" s="64">
        <f>VLOOKUP(C823,'CHAS - Cook Co'!$C$1:$J$2762,2,FALSE) - VLOOKUP(C823,'CHAS - Chicago'!$C$1:$J$2762,2,FALSE)</f>
        <v>12535</v>
      </c>
      <c r="E823" t="s">
        <v>1192</v>
      </c>
      <c r="F823" s="71" t="s">
        <v>1193</v>
      </c>
      <c r="G823" s="71" t="s">
        <v>1234</v>
      </c>
      <c r="H823" s="71" t="s">
        <v>1206</v>
      </c>
      <c r="I823" s="71" t="s">
        <v>362</v>
      </c>
    </row>
    <row r="824" spans="1:9" ht="43.5" x14ac:dyDescent="0.35">
      <c r="A824">
        <v>6</v>
      </c>
      <c r="B824">
        <v>46</v>
      </c>
      <c r="C824" t="s">
        <v>1244</v>
      </c>
      <c r="D824" s="64">
        <f>VLOOKUP(C824,'CHAS - Cook Co'!$C$1:$J$2762,2,FALSE) - VLOOKUP(C824,'CHAS - Chicago'!$C$1:$J$2762,2,FALSE)</f>
        <v>5655</v>
      </c>
      <c r="E824" t="s">
        <v>1192</v>
      </c>
      <c r="F824" s="71" t="s">
        <v>1193</v>
      </c>
      <c r="G824" s="71" t="s">
        <v>1234</v>
      </c>
      <c r="H824" s="71" t="s">
        <v>1206</v>
      </c>
      <c r="I824" s="71" t="s">
        <v>1057</v>
      </c>
    </row>
    <row r="825" spans="1:9" ht="43.5" x14ac:dyDescent="0.35">
      <c r="A825">
        <v>6</v>
      </c>
      <c r="B825">
        <v>47</v>
      </c>
      <c r="C825" t="s">
        <v>1245</v>
      </c>
      <c r="D825" s="64">
        <f>VLOOKUP(C825,'CHAS - Cook Co'!$C$1:$J$2762,2,FALSE) - VLOOKUP(C825,'CHAS - Chicago'!$C$1:$J$2762,2,FALSE)</f>
        <v>6880</v>
      </c>
      <c r="E825" t="s">
        <v>1192</v>
      </c>
      <c r="F825" s="71" t="s">
        <v>1193</v>
      </c>
      <c r="G825" s="71" t="s">
        <v>1234</v>
      </c>
      <c r="H825" s="71" t="s">
        <v>1206</v>
      </c>
      <c r="I825" s="71" t="s">
        <v>1082</v>
      </c>
    </row>
    <row r="826" spans="1:9" ht="58" x14ac:dyDescent="0.35">
      <c r="A826">
        <v>6</v>
      </c>
      <c r="B826">
        <v>48</v>
      </c>
      <c r="C826" t="s">
        <v>1246</v>
      </c>
      <c r="D826" s="64">
        <f>VLOOKUP(C826,'CHAS - Cook Co'!$C$1:$J$2762,2,FALSE) - VLOOKUP(C826,'CHAS - Chicago'!$C$1:$J$2762,2,FALSE)</f>
        <v>0</v>
      </c>
      <c r="E826" t="s">
        <v>1192</v>
      </c>
      <c r="F826" s="71" t="s">
        <v>1193</v>
      </c>
      <c r="G826" s="71" t="s">
        <v>1234</v>
      </c>
      <c r="H826" s="71" t="s">
        <v>1206</v>
      </c>
      <c r="I826" s="71" t="s">
        <v>1013</v>
      </c>
    </row>
    <row r="827" spans="1:9" ht="43.5" x14ac:dyDescent="0.35">
      <c r="A827">
        <v>6</v>
      </c>
      <c r="B827">
        <v>49</v>
      </c>
      <c r="C827" t="s">
        <v>1247</v>
      </c>
      <c r="D827" s="64">
        <f>VLOOKUP(C827,'CHAS - Cook Co'!$C$1:$J$2762,2,FALSE) - VLOOKUP(C827,'CHAS - Chicago'!$C$1:$J$2762,2,FALSE)</f>
        <v>27570</v>
      </c>
      <c r="E827" t="s">
        <v>1192</v>
      </c>
      <c r="F827" s="71" t="s">
        <v>1193</v>
      </c>
      <c r="G827" s="71" t="s">
        <v>1234</v>
      </c>
      <c r="H827" s="71" t="s">
        <v>1211</v>
      </c>
      <c r="I827" s="71" t="s">
        <v>362</v>
      </c>
    </row>
    <row r="828" spans="1:9" ht="43.5" x14ac:dyDescent="0.35">
      <c r="A828">
        <v>6</v>
      </c>
      <c r="B828">
        <v>50</v>
      </c>
      <c r="C828" t="s">
        <v>1248</v>
      </c>
      <c r="D828" s="64">
        <f>VLOOKUP(C828,'CHAS - Cook Co'!$C$1:$J$2762,2,FALSE) - VLOOKUP(C828,'CHAS - Chicago'!$C$1:$J$2762,2,FALSE)</f>
        <v>4530</v>
      </c>
      <c r="E828" t="s">
        <v>1192</v>
      </c>
      <c r="F828" s="71" t="s">
        <v>1193</v>
      </c>
      <c r="G828" s="71" t="s">
        <v>1234</v>
      </c>
      <c r="H828" s="71" t="s">
        <v>1211</v>
      </c>
      <c r="I828" s="71" t="s">
        <v>1057</v>
      </c>
    </row>
    <row r="829" spans="1:9" ht="43.5" x14ac:dyDescent="0.35">
      <c r="A829">
        <v>6</v>
      </c>
      <c r="B829">
        <v>51</v>
      </c>
      <c r="C829" t="s">
        <v>1249</v>
      </c>
      <c r="D829" s="64">
        <f>VLOOKUP(C829,'CHAS - Cook Co'!$C$1:$J$2762,2,FALSE) - VLOOKUP(C829,'CHAS - Chicago'!$C$1:$J$2762,2,FALSE)</f>
        <v>23045</v>
      </c>
      <c r="E829" t="s">
        <v>1192</v>
      </c>
      <c r="F829" s="71" t="s">
        <v>1193</v>
      </c>
      <c r="G829" s="71" t="s">
        <v>1234</v>
      </c>
      <c r="H829" s="71" t="s">
        <v>1211</v>
      </c>
      <c r="I829" s="71" t="s">
        <v>1082</v>
      </c>
    </row>
    <row r="830" spans="1:9" ht="58" x14ac:dyDescent="0.35">
      <c r="A830">
        <v>6</v>
      </c>
      <c r="B830">
        <v>52</v>
      </c>
      <c r="C830" t="s">
        <v>1250</v>
      </c>
      <c r="D830" s="64">
        <f>VLOOKUP(C830,'CHAS - Cook Co'!$C$1:$J$2762,2,FALSE) - VLOOKUP(C830,'CHAS - Chicago'!$C$1:$J$2762,2,FALSE)</f>
        <v>0</v>
      </c>
      <c r="E830" t="s">
        <v>1192</v>
      </c>
      <c r="F830" s="71" t="s">
        <v>1193</v>
      </c>
      <c r="G830" s="71" t="s">
        <v>1234</v>
      </c>
      <c r="H830" s="71" t="s">
        <v>1211</v>
      </c>
      <c r="I830" s="71" t="s">
        <v>1013</v>
      </c>
    </row>
    <row r="831" spans="1:9" ht="43.5" x14ac:dyDescent="0.35">
      <c r="A831">
        <v>6</v>
      </c>
      <c r="B831">
        <v>53</v>
      </c>
      <c r="C831" t="s">
        <v>1251</v>
      </c>
      <c r="D831" s="64">
        <f>VLOOKUP(C831,'CHAS - Cook Co'!$C$1:$J$2762,2,FALSE) - VLOOKUP(C831,'CHAS - Chicago'!$C$1:$J$2762,2,FALSE)</f>
        <v>93190</v>
      </c>
      <c r="E831" t="s">
        <v>1192</v>
      </c>
      <c r="F831" s="71" t="s">
        <v>1193</v>
      </c>
      <c r="G831" s="71" t="s">
        <v>1252</v>
      </c>
      <c r="H831" s="71" t="s">
        <v>363</v>
      </c>
      <c r="I831" s="71" t="s">
        <v>362</v>
      </c>
    </row>
    <row r="832" spans="1:9" ht="43.5" x14ac:dyDescent="0.35">
      <c r="A832">
        <v>6</v>
      </c>
      <c r="B832">
        <v>54</v>
      </c>
      <c r="C832" t="s">
        <v>1253</v>
      </c>
      <c r="D832" s="64">
        <f>VLOOKUP(C832,'CHAS - Cook Co'!$C$1:$J$2762,2,FALSE) - VLOOKUP(C832,'CHAS - Chicago'!$C$1:$J$2762,2,FALSE)</f>
        <v>21360</v>
      </c>
      <c r="E832" t="s">
        <v>1192</v>
      </c>
      <c r="F832" s="71" t="s">
        <v>1193</v>
      </c>
      <c r="G832" s="71" t="s">
        <v>1252</v>
      </c>
      <c r="H832" s="71" t="s">
        <v>1196</v>
      </c>
      <c r="I832" s="71" t="s">
        <v>362</v>
      </c>
    </row>
    <row r="833" spans="1:9" ht="43.5" x14ac:dyDescent="0.35">
      <c r="A833">
        <v>6</v>
      </c>
      <c r="B833">
        <v>55</v>
      </c>
      <c r="C833" t="s">
        <v>1254</v>
      </c>
      <c r="D833" s="64">
        <f>VLOOKUP(C833,'CHAS - Cook Co'!$C$1:$J$2762,2,FALSE) - VLOOKUP(C833,'CHAS - Chicago'!$C$1:$J$2762,2,FALSE)</f>
        <v>16905</v>
      </c>
      <c r="E833" t="s">
        <v>1192</v>
      </c>
      <c r="F833" s="71" t="s">
        <v>1193</v>
      </c>
      <c r="G833" s="71" t="s">
        <v>1252</v>
      </c>
      <c r="H833" s="71" t="s">
        <v>1196</v>
      </c>
      <c r="I833" s="71" t="s">
        <v>1057</v>
      </c>
    </row>
    <row r="834" spans="1:9" ht="43.5" x14ac:dyDescent="0.35">
      <c r="A834">
        <v>6</v>
      </c>
      <c r="B834">
        <v>56</v>
      </c>
      <c r="C834" t="s">
        <v>1255</v>
      </c>
      <c r="D834" s="64">
        <f>VLOOKUP(C834,'CHAS - Cook Co'!$C$1:$J$2762,2,FALSE) - VLOOKUP(C834,'CHAS - Chicago'!$C$1:$J$2762,2,FALSE)</f>
        <v>3165</v>
      </c>
      <c r="E834" t="s">
        <v>1192</v>
      </c>
      <c r="F834" s="71" t="s">
        <v>1193</v>
      </c>
      <c r="G834" s="71" t="s">
        <v>1252</v>
      </c>
      <c r="H834" s="71" t="s">
        <v>1196</v>
      </c>
      <c r="I834" s="71" t="s">
        <v>1082</v>
      </c>
    </row>
    <row r="835" spans="1:9" ht="58" x14ac:dyDescent="0.35">
      <c r="A835">
        <v>6</v>
      </c>
      <c r="B835">
        <v>57</v>
      </c>
      <c r="C835" t="s">
        <v>1256</v>
      </c>
      <c r="D835" s="64">
        <f>VLOOKUP(C835,'CHAS - Cook Co'!$C$1:$J$2762,2,FALSE) - VLOOKUP(C835,'CHAS - Chicago'!$C$1:$J$2762,2,FALSE)</f>
        <v>1280</v>
      </c>
      <c r="E835" t="s">
        <v>1192</v>
      </c>
      <c r="F835" s="71" t="s">
        <v>1193</v>
      </c>
      <c r="G835" s="71" t="s">
        <v>1252</v>
      </c>
      <c r="H835" s="71" t="s">
        <v>1196</v>
      </c>
      <c r="I835" s="71" t="s">
        <v>1013</v>
      </c>
    </row>
    <row r="836" spans="1:9" ht="43.5" x14ac:dyDescent="0.35">
      <c r="A836">
        <v>6</v>
      </c>
      <c r="B836">
        <v>58</v>
      </c>
      <c r="C836" t="s">
        <v>1257</v>
      </c>
      <c r="D836" s="64">
        <f>VLOOKUP(C836,'CHAS - Cook Co'!$C$1:$J$2762,2,FALSE) - VLOOKUP(C836,'CHAS - Chicago'!$C$1:$J$2762,2,FALSE)</f>
        <v>17850</v>
      </c>
      <c r="E836" t="s">
        <v>1192</v>
      </c>
      <c r="F836" s="71" t="s">
        <v>1193</v>
      </c>
      <c r="G836" s="71" t="s">
        <v>1252</v>
      </c>
      <c r="H836" s="71" t="s">
        <v>1201</v>
      </c>
      <c r="I836" s="71" t="s">
        <v>362</v>
      </c>
    </row>
    <row r="837" spans="1:9" ht="43.5" x14ac:dyDescent="0.35">
      <c r="A837">
        <v>6</v>
      </c>
      <c r="B837">
        <v>59</v>
      </c>
      <c r="C837" t="s">
        <v>1258</v>
      </c>
      <c r="D837" s="64">
        <f>VLOOKUP(C837,'CHAS - Cook Co'!$C$1:$J$2762,2,FALSE) - VLOOKUP(C837,'CHAS - Chicago'!$C$1:$J$2762,2,FALSE)</f>
        <v>12925</v>
      </c>
      <c r="E837" t="s">
        <v>1192</v>
      </c>
      <c r="F837" s="71" t="s">
        <v>1193</v>
      </c>
      <c r="G837" s="71" t="s">
        <v>1252</v>
      </c>
      <c r="H837" s="71" t="s">
        <v>1201</v>
      </c>
      <c r="I837" s="71" t="s">
        <v>1057</v>
      </c>
    </row>
    <row r="838" spans="1:9" ht="43.5" x14ac:dyDescent="0.35">
      <c r="A838">
        <v>6</v>
      </c>
      <c r="B838">
        <v>60</v>
      </c>
      <c r="C838" t="s">
        <v>1259</v>
      </c>
      <c r="D838" s="64">
        <f>VLOOKUP(C838,'CHAS - Cook Co'!$C$1:$J$2762,2,FALSE) - VLOOKUP(C838,'CHAS - Chicago'!$C$1:$J$2762,2,FALSE)</f>
        <v>4925</v>
      </c>
      <c r="E838" t="s">
        <v>1192</v>
      </c>
      <c r="F838" s="71" t="s">
        <v>1193</v>
      </c>
      <c r="G838" s="71" t="s">
        <v>1252</v>
      </c>
      <c r="H838" s="71" t="s">
        <v>1201</v>
      </c>
      <c r="I838" s="71" t="s">
        <v>1082</v>
      </c>
    </row>
    <row r="839" spans="1:9" ht="58" x14ac:dyDescent="0.35">
      <c r="A839">
        <v>6</v>
      </c>
      <c r="B839">
        <v>61</v>
      </c>
      <c r="C839" t="s">
        <v>1260</v>
      </c>
      <c r="D839" s="64">
        <f>VLOOKUP(C839,'CHAS - Cook Co'!$C$1:$J$2762,2,FALSE) - VLOOKUP(C839,'CHAS - Chicago'!$C$1:$J$2762,2,FALSE)</f>
        <v>0</v>
      </c>
      <c r="E839" t="s">
        <v>1192</v>
      </c>
      <c r="F839" s="71" t="s">
        <v>1193</v>
      </c>
      <c r="G839" s="71" t="s">
        <v>1252</v>
      </c>
      <c r="H839" s="71" t="s">
        <v>1201</v>
      </c>
      <c r="I839" s="71" t="s">
        <v>1013</v>
      </c>
    </row>
    <row r="840" spans="1:9" ht="43.5" x14ac:dyDescent="0.35">
      <c r="A840">
        <v>6</v>
      </c>
      <c r="B840">
        <v>62</v>
      </c>
      <c r="C840" t="s">
        <v>1261</v>
      </c>
      <c r="D840" s="64">
        <f>VLOOKUP(C840,'CHAS - Cook Co'!$C$1:$J$2762,2,FALSE) - VLOOKUP(C840,'CHAS - Chicago'!$C$1:$J$2762,2,FALSE)</f>
        <v>17560</v>
      </c>
      <c r="E840" t="s">
        <v>1192</v>
      </c>
      <c r="F840" s="71" t="s">
        <v>1193</v>
      </c>
      <c r="G840" s="71" t="s">
        <v>1252</v>
      </c>
      <c r="H840" s="71" t="s">
        <v>1206</v>
      </c>
      <c r="I840" s="71" t="s">
        <v>362</v>
      </c>
    </row>
    <row r="841" spans="1:9" ht="43.5" x14ac:dyDescent="0.35">
      <c r="A841">
        <v>6</v>
      </c>
      <c r="B841">
        <v>63</v>
      </c>
      <c r="C841" t="s">
        <v>1262</v>
      </c>
      <c r="D841" s="64">
        <f>VLOOKUP(C841,'CHAS - Cook Co'!$C$1:$J$2762,2,FALSE) - VLOOKUP(C841,'CHAS - Chicago'!$C$1:$J$2762,2,FALSE)</f>
        <v>7320</v>
      </c>
      <c r="E841" t="s">
        <v>1192</v>
      </c>
      <c r="F841" s="71" t="s">
        <v>1193</v>
      </c>
      <c r="G841" s="71" t="s">
        <v>1252</v>
      </c>
      <c r="H841" s="71" t="s">
        <v>1206</v>
      </c>
      <c r="I841" s="71" t="s">
        <v>1057</v>
      </c>
    </row>
    <row r="842" spans="1:9" ht="43.5" x14ac:dyDescent="0.35">
      <c r="A842">
        <v>6</v>
      </c>
      <c r="B842">
        <v>64</v>
      </c>
      <c r="C842" t="s">
        <v>1263</v>
      </c>
      <c r="D842" s="64">
        <f>VLOOKUP(C842,'CHAS - Cook Co'!$C$1:$J$2762,2,FALSE) - VLOOKUP(C842,'CHAS - Chicago'!$C$1:$J$2762,2,FALSE)</f>
        <v>10240</v>
      </c>
      <c r="E842" t="s">
        <v>1192</v>
      </c>
      <c r="F842" s="71" t="s">
        <v>1193</v>
      </c>
      <c r="G842" s="71" t="s">
        <v>1252</v>
      </c>
      <c r="H842" s="71" t="s">
        <v>1206</v>
      </c>
      <c r="I842" s="71" t="s">
        <v>1082</v>
      </c>
    </row>
    <row r="843" spans="1:9" ht="58" x14ac:dyDescent="0.35">
      <c r="A843">
        <v>6</v>
      </c>
      <c r="B843">
        <v>65</v>
      </c>
      <c r="C843" t="s">
        <v>1264</v>
      </c>
      <c r="D843" s="64">
        <f>VLOOKUP(C843,'CHAS - Cook Co'!$C$1:$J$2762,2,FALSE) - VLOOKUP(C843,'CHAS - Chicago'!$C$1:$J$2762,2,FALSE)</f>
        <v>0</v>
      </c>
      <c r="E843" t="s">
        <v>1192</v>
      </c>
      <c r="F843" s="71" t="s">
        <v>1193</v>
      </c>
      <c r="G843" s="71" t="s">
        <v>1252</v>
      </c>
      <c r="H843" s="71" t="s">
        <v>1206</v>
      </c>
      <c r="I843" s="71" t="s">
        <v>1013</v>
      </c>
    </row>
    <row r="844" spans="1:9" ht="43.5" x14ac:dyDescent="0.35">
      <c r="A844">
        <v>6</v>
      </c>
      <c r="B844">
        <v>66</v>
      </c>
      <c r="C844" t="s">
        <v>1265</v>
      </c>
      <c r="D844" s="64">
        <f>VLOOKUP(C844,'CHAS - Cook Co'!$C$1:$J$2762,2,FALSE) - VLOOKUP(C844,'CHAS - Chicago'!$C$1:$J$2762,2,FALSE)</f>
        <v>36420</v>
      </c>
      <c r="E844" t="s">
        <v>1192</v>
      </c>
      <c r="F844" s="71" t="s">
        <v>1193</v>
      </c>
      <c r="G844" s="71" t="s">
        <v>1252</v>
      </c>
      <c r="H844" s="71" t="s">
        <v>1211</v>
      </c>
      <c r="I844" s="71" t="s">
        <v>362</v>
      </c>
    </row>
    <row r="845" spans="1:9" ht="43.5" x14ac:dyDescent="0.35">
      <c r="A845">
        <v>6</v>
      </c>
      <c r="B845">
        <v>67</v>
      </c>
      <c r="C845" t="s">
        <v>1266</v>
      </c>
      <c r="D845" s="64">
        <f>VLOOKUP(C845,'CHAS - Cook Co'!$C$1:$J$2762,2,FALSE) - VLOOKUP(C845,'CHAS - Chicago'!$C$1:$J$2762,2,FALSE)</f>
        <v>6155</v>
      </c>
      <c r="E845" t="s">
        <v>1192</v>
      </c>
      <c r="F845" s="71" t="s">
        <v>1193</v>
      </c>
      <c r="G845" s="71" t="s">
        <v>1252</v>
      </c>
      <c r="H845" s="71" t="s">
        <v>1211</v>
      </c>
      <c r="I845" s="71" t="s">
        <v>1057</v>
      </c>
    </row>
    <row r="846" spans="1:9" ht="43.5" x14ac:dyDescent="0.35">
      <c r="A846">
        <v>6</v>
      </c>
      <c r="B846">
        <v>68</v>
      </c>
      <c r="C846" t="s">
        <v>1267</v>
      </c>
      <c r="D846" s="64">
        <f>VLOOKUP(C846,'CHAS - Cook Co'!$C$1:$J$2762,2,FALSE) - VLOOKUP(C846,'CHAS - Chicago'!$C$1:$J$2762,2,FALSE)</f>
        <v>30260</v>
      </c>
      <c r="E846" t="s">
        <v>1192</v>
      </c>
      <c r="F846" s="71" t="s">
        <v>1193</v>
      </c>
      <c r="G846" s="71" t="s">
        <v>1252</v>
      </c>
      <c r="H846" s="71" t="s">
        <v>1211</v>
      </c>
      <c r="I846" s="71" t="s">
        <v>1082</v>
      </c>
    </row>
    <row r="847" spans="1:9" ht="58" x14ac:dyDescent="0.35">
      <c r="A847">
        <v>6</v>
      </c>
      <c r="B847">
        <v>69</v>
      </c>
      <c r="C847" t="s">
        <v>1268</v>
      </c>
      <c r="D847" s="64">
        <f>VLOOKUP(C847,'CHAS - Cook Co'!$C$1:$J$2762,2,FALSE) - VLOOKUP(C847,'CHAS - Chicago'!$C$1:$J$2762,2,FALSE)</f>
        <v>0</v>
      </c>
      <c r="E847" t="s">
        <v>1192</v>
      </c>
      <c r="F847" s="71" t="s">
        <v>1193</v>
      </c>
      <c r="G847" s="71" t="s">
        <v>1252</v>
      </c>
      <c r="H847" s="71" t="s">
        <v>1211</v>
      </c>
      <c r="I847" s="71" t="s">
        <v>1013</v>
      </c>
    </row>
    <row r="848" spans="1:9" ht="43.5" x14ac:dyDescent="0.35">
      <c r="A848">
        <v>6</v>
      </c>
      <c r="B848">
        <v>70</v>
      </c>
      <c r="C848" t="s">
        <v>1269</v>
      </c>
      <c r="D848" s="64">
        <f>VLOOKUP(C848,'CHAS - Cook Co'!$C$1:$J$2762,2,FALSE) - VLOOKUP(C848,'CHAS - Chicago'!$C$1:$J$2762,2,FALSE)</f>
        <v>712635</v>
      </c>
      <c r="E848" t="s">
        <v>1192</v>
      </c>
      <c r="F848" s="71" t="s">
        <v>1193</v>
      </c>
      <c r="G848" s="71" t="s">
        <v>1270</v>
      </c>
      <c r="H848" s="71" t="s">
        <v>363</v>
      </c>
      <c r="I848" s="71" t="s">
        <v>362</v>
      </c>
    </row>
    <row r="849" spans="1:9" ht="43.5" x14ac:dyDescent="0.35">
      <c r="A849">
        <v>6</v>
      </c>
      <c r="B849">
        <v>71</v>
      </c>
      <c r="C849" t="s">
        <v>1271</v>
      </c>
      <c r="D849" s="64">
        <f>VLOOKUP(C849,'CHAS - Cook Co'!$C$1:$J$2762,2,FALSE) - VLOOKUP(C849,'CHAS - Chicago'!$C$1:$J$2762,2,FALSE)</f>
        <v>86575</v>
      </c>
      <c r="E849" t="s">
        <v>1192</v>
      </c>
      <c r="F849" s="71" t="s">
        <v>1193</v>
      </c>
      <c r="G849" s="71" t="s">
        <v>1270</v>
      </c>
      <c r="H849" s="71" t="s">
        <v>1196</v>
      </c>
      <c r="I849" s="71" t="s">
        <v>362</v>
      </c>
    </row>
    <row r="850" spans="1:9" ht="43.5" x14ac:dyDescent="0.35">
      <c r="A850">
        <v>6</v>
      </c>
      <c r="B850">
        <v>72</v>
      </c>
      <c r="C850" t="s">
        <v>1272</v>
      </c>
      <c r="D850" s="64">
        <f>VLOOKUP(C850,'CHAS - Cook Co'!$C$1:$J$2762,2,FALSE) - VLOOKUP(C850,'CHAS - Chicago'!$C$1:$J$2762,2,FALSE)</f>
        <v>69570</v>
      </c>
      <c r="E850" t="s">
        <v>1192</v>
      </c>
      <c r="F850" s="71" t="s">
        <v>1193</v>
      </c>
      <c r="G850" s="71" t="s">
        <v>1270</v>
      </c>
      <c r="H850" s="71" t="s">
        <v>1196</v>
      </c>
      <c r="I850" s="71" t="s">
        <v>1057</v>
      </c>
    </row>
    <row r="851" spans="1:9" ht="43.5" x14ac:dyDescent="0.35">
      <c r="A851">
        <v>6</v>
      </c>
      <c r="B851">
        <v>73</v>
      </c>
      <c r="C851" t="s">
        <v>1273</v>
      </c>
      <c r="D851" s="64">
        <f>VLOOKUP(C851,'CHAS - Cook Co'!$C$1:$J$2762,2,FALSE) - VLOOKUP(C851,'CHAS - Chicago'!$C$1:$J$2762,2,FALSE)</f>
        <v>5850</v>
      </c>
      <c r="E851" t="s">
        <v>1192</v>
      </c>
      <c r="F851" s="71" t="s">
        <v>1193</v>
      </c>
      <c r="G851" s="71" t="s">
        <v>1270</v>
      </c>
      <c r="H851" s="71" t="s">
        <v>1196</v>
      </c>
      <c r="I851" s="71" t="s">
        <v>1082</v>
      </c>
    </row>
    <row r="852" spans="1:9" ht="58" x14ac:dyDescent="0.35">
      <c r="A852">
        <v>6</v>
      </c>
      <c r="B852">
        <v>74</v>
      </c>
      <c r="C852" t="s">
        <v>1274</v>
      </c>
      <c r="D852" s="64">
        <f>VLOOKUP(C852,'CHAS - Cook Co'!$C$1:$J$2762,2,FALSE) - VLOOKUP(C852,'CHAS - Chicago'!$C$1:$J$2762,2,FALSE)</f>
        <v>11155</v>
      </c>
      <c r="E852" t="s">
        <v>1192</v>
      </c>
      <c r="F852" s="71" t="s">
        <v>1193</v>
      </c>
      <c r="G852" s="71" t="s">
        <v>1270</v>
      </c>
      <c r="H852" s="71" t="s">
        <v>1196</v>
      </c>
      <c r="I852" s="71" t="s">
        <v>1013</v>
      </c>
    </row>
    <row r="853" spans="1:9" ht="43.5" x14ac:dyDescent="0.35">
      <c r="A853">
        <v>6</v>
      </c>
      <c r="B853">
        <v>75</v>
      </c>
      <c r="C853" t="s">
        <v>1275</v>
      </c>
      <c r="D853" s="64">
        <f>VLOOKUP(C853,'CHAS - Cook Co'!$C$1:$J$2762,2,FALSE) - VLOOKUP(C853,'CHAS - Chicago'!$C$1:$J$2762,2,FALSE)</f>
        <v>79930</v>
      </c>
      <c r="E853" t="s">
        <v>1192</v>
      </c>
      <c r="F853" s="71" t="s">
        <v>1193</v>
      </c>
      <c r="G853" s="71" t="s">
        <v>1270</v>
      </c>
      <c r="H853" s="71" t="s">
        <v>1201</v>
      </c>
      <c r="I853" s="71" t="s">
        <v>362</v>
      </c>
    </row>
    <row r="854" spans="1:9" ht="43.5" x14ac:dyDescent="0.35">
      <c r="A854">
        <v>6</v>
      </c>
      <c r="B854">
        <v>76</v>
      </c>
      <c r="C854" t="s">
        <v>1276</v>
      </c>
      <c r="D854" s="64">
        <f>VLOOKUP(C854,'CHAS - Cook Co'!$C$1:$J$2762,2,FALSE) - VLOOKUP(C854,'CHAS - Chicago'!$C$1:$J$2762,2,FALSE)</f>
        <v>63015</v>
      </c>
      <c r="E854" t="s">
        <v>1192</v>
      </c>
      <c r="F854" s="71" t="s">
        <v>1193</v>
      </c>
      <c r="G854" s="71" t="s">
        <v>1270</v>
      </c>
      <c r="H854" s="71" t="s">
        <v>1201</v>
      </c>
      <c r="I854" s="71" t="s">
        <v>1057</v>
      </c>
    </row>
    <row r="855" spans="1:9" ht="43.5" x14ac:dyDescent="0.35">
      <c r="A855">
        <v>6</v>
      </c>
      <c r="B855">
        <v>77</v>
      </c>
      <c r="C855" t="s">
        <v>1277</v>
      </c>
      <c r="D855" s="64">
        <f>VLOOKUP(C855,'CHAS - Cook Co'!$C$1:$J$2762,2,FALSE) - VLOOKUP(C855,'CHAS - Chicago'!$C$1:$J$2762,2,FALSE)</f>
        <v>16915</v>
      </c>
      <c r="E855" t="s">
        <v>1192</v>
      </c>
      <c r="F855" s="71" t="s">
        <v>1193</v>
      </c>
      <c r="G855" s="71" t="s">
        <v>1270</v>
      </c>
      <c r="H855" s="71" t="s">
        <v>1201</v>
      </c>
      <c r="I855" s="71" t="s">
        <v>1082</v>
      </c>
    </row>
    <row r="856" spans="1:9" ht="58" x14ac:dyDescent="0.35">
      <c r="A856">
        <v>6</v>
      </c>
      <c r="B856">
        <v>78</v>
      </c>
      <c r="C856" t="s">
        <v>1278</v>
      </c>
      <c r="D856" s="64">
        <f>VLOOKUP(C856,'CHAS - Cook Co'!$C$1:$J$2762,2,FALSE) - VLOOKUP(C856,'CHAS - Chicago'!$C$1:$J$2762,2,FALSE)</f>
        <v>0</v>
      </c>
      <c r="E856" t="s">
        <v>1192</v>
      </c>
      <c r="F856" s="71" t="s">
        <v>1193</v>
      </c>
      <c r="G856" s="71" t="s">
        <v>1270</v>
      </c>
      <c r="H856" s="71" t="s">
        <v>1201</v>
      </c>
      <c r="I856" s="71" t="s">
        <v>1013</v>
      </c>
    </row>
    <row r="857" spans="1:9" ht="43.5" x14ac:dyDescent="0.35">
      <c r="A857">
        <v>6</v>
      </c>
      <c r="B857">
        <v>79</v>
      </c>
      <c r="C857" t="s">
        <v>1279</v>
      </c>
      <c r="D857" s="64">
        <f>VLOOKUP(C857,'CHAS - Cook Co'!$C$1:$J$2762,2,FALSE) - VLOOKUP(C857,'CHAS - Chicago'!$C$1:$J$2762,2,FALSE)</f>
        <v>119740</v>
      </c>
      <c r="E857" t="s">
        <v>1192</v>
      </c>
      <c r="F857" s="71" t="s">
        <v>1193</v>
      </c>
      <c r="G857" s="71" t="s">
        <v>1270</v>
      </c>
      <c r="H857" s="71" t="s">
        <v>1206</v>
      </c>
      <c r="I857" s="71" t="s">
        <v>362</v>
      </c>
    </row>
    <row r="858" spans="1:9" ht="43.5" x14ac:dyDescent="0.35">
      <c r="A858">
        <v>6</v>
      </c>
      <c r="B858">
        <v>80</v>
      </c>
      <c r="C858" t="s">
        <v>1280</v>
      </c>
      <c r="D858" s="64">
        <f>VLOOKUP(C858,'CHAS - Cook Co'!$C$1:$J$2762,2,FALSE) - VLOOKUP(C858,'CHAS - Chicago'!$C$1:$J$2762,2,FALSE)</f>
        <v>58635</v>
      </c>
      <c r="E858" t="s">
        <v>1192</v>
      </c>
      <c r="F858" s="71" t="s">
        <v>1193</v>
      </c>
      <c r="G858" s="71" t="s">
        <v>1270</v>
      </c>
      <c r="H858" s="71" t="s">
        <v>1206</v>
      </c>
      <c r="I858" s="71" t="s">
        <v>1057</v>
      </c>
    </row>
    <row r="859" spans="1:9" ht="43.5" x14ac:dyDescent="0.35">
      <c r="A859">
        <v>6</v>
      </c>
      <c r="B859">
        <v>81</v>
      </c>
      <c r="C859" t="s">
        <v>1281</v>
      </c>
      <c r="D859" s="64">
        <f>VLOOKUP(C859,'CHAS - Cook Co'!$C$1:$J$2762,2,FALSE) - VLOOKUP(C859,'CHAS - Chicago'!$C$1:$J$2762,2,FALSE)</f>
        <v>61105</v>
      </c>
      <c r="E859" t="s">
        <v>1192</v>
      </c>
      <c r="F859" s="71" t="s">
        <v>1193</v>
      </c>
      <c r="G859" s="71" t="s">
        <v>1270</v>
      </c>
      <c r="H859" s="71" t="s">
        <v>1206</v>
      </c>
      <c r="I859" s="71" t="s">
        <v>1082</v>
      </c>
    </row>
    <row r="860" spans="1:9" ht="58" x14ac:dyDescent="0.35">
      <c r="A860">
        <v>6</v>
      </c>
      <c r="B860">
        <v>82</v>
      </c>
      <c r="C860" t="s">
        <v>1282</v>
      </c>
      <c r="D860" s="64">
        <f>VLOOKUP(C860,'CHAS - Cook Co'!$C$1:$J$2762,2,FALSE) - VLOOKUP(C860,'CHAS - Chicago'!$C$1:$J$2762,2,FALSE)</f>
        <v>0</v>
      </c>
      <c r="E860" t="s">
        <v>1192</v>
      </c>
      <c r="F860" s="71" t="s">
        <v>1193</v>
      </c>
      <c r="G860" s="71" t="s">
        <v>1270</v>
      </c>
      <c r="H860" s="71" t="s">
        <v>1206</v>
      </c>
      <c r="I860" s="71" t="s">
        <v>1013</v>
      </c>
    </row>
    <row r="861" spans="1:9" ht="43.5" x14ac:dyDescent="0.35">
      <c r="A861">
        <v>6</v>
      </c>
      <c r="B861">
        <v>83</v>
      </c>
      <c r="C861" t="s">
        <v>1283</v>
      </c>
      <c r="D861" s="64">
        <f>VLOOKUP(C861,'CHAS - Cook Co'!$C$1:$J$2762,2,FALSE) - VLOOKUP(C861,'CHAS - Chicago'!$C$1:$J$2762,2,FALSE)</f>
        <v>426395</v>
      </c>
      <c r="E861" t="s">
        <v>1192</v>
      </c>
      <c r="F861" s="71" t="s">
        <v>1193</v>
      </c>
      <c r="G861" s="71" t="s">
        <v>1270</v>
      </c>
      <c r="H861" s="71" t="s">
        <v>1211</v>
      </c>
      <c r="I861" s="71" t="s">
        <v>362</v>
      </c>
    </row>
    <row r="862" spans="1:9" ht="43.5" x14ac:dyDescent="0.35">
      <c r="A862">
        <v>6</v>
      </c>
      <c r="B862">
        <v>84</v>
      </c>
      <c r="C862" t="s">
        <v>1284</v>
      </c>
      <c r="D862" s="64">
        <f>VLOOKUP(C862,'CHAS - Cook Co'!$C$1:$J$2762,2,FALSE) - VLOOKUP(C862,'CHAS - Chicago'!$C$1:$J$2762,2,FALSE)</f>
        <v>56235</v>
      </c>
      <c r="E862" t="s">
        <v>1192</v>
      </c>
      <c r="F862" s="71" t="s">
        <v>1193</v>
      </c>
      <c r="G862" s="71" t="s">
        <v>1270</v>
      </c>
      <c r="H862" s="71" t="s">
        <v>1211</v>
      </c>
      <c r="I862" s="71" t="s">
        <v>1057</v>
      </c>
    </row>
    <row r="863" spans="1:9" ht="43.5" x14ac:dyDescent="0.35">
      <c r="A863">
        <v>6</v>
      </c>
      <c r="B863">
        <v>85</v>
      </c>
      <c r="C863" t="s">
        <v>1285</v>
      </c>
      <c r="D863" s="64">
        <f>VLOOKUP(C863,'CHAS - Cook Co'!$C$1:$J$2762,2,FALSE) - VLOOKUP(C863,'CHAS - Chicago'!$C$1:$J$2762,2,FALSE)</f>
        <v>370160</v>
      </c>
      <c r="E863" t="s">
        <v>1192</v>
      </c>
      <c r="F863" s="71" t="s">
        <v>1193</v>
      </c>
      <c r="G863" s="71" t="s">
        <v>1270</v>
      </c>
      <c r="H863" s="71" t="s">
        <v>1211</v>
      </c>
      <c r="I863" s="71" t="s">
        <v>1082</v>
      </c>
    </row>
    <row r="864" spans="1:9" ht="58" x14ac:dyDescent="0.35">
      <c r="A864">
        <v>6</v>
      </c>
      <c r="B864">
        <v>86</v>
      </c>
      <c r="C864" t="s">
        <v>1286</v>
      </c>
      <c r="D864" s="64">
        <f>VLOOKUP(C864,'CHAS - Cook Co'!$C$1:$J$2762,2,FALSE) - VLOOKUP(C864,'CHAS - Chicago'!$C$1:$J$2762,2,FALSE)</f>
        <v>0</v>
      </c>
      <c r="E864" t="s">
        <v>1192</v>
      </c>
      <c r="F864" s="71" t="s">
        <v>1193</v>
      </c>
      <c r="G864" s="71" t="s">
        <v>1270</v>
      </c>
      <c r="H864" s="71" t="s">
        <v>1211</v>
      </c>
      <c r="I864" s="71" t="s">
        <v>1013</v>
      </c>
    </row>
    <row r="865" spans="1:9" x14ac:dyDescent="0.35">
      <c r="A865">
        <v>6</v>
      </c>
      <c r="B865">
        <v>87</v>
      </c>
      <c r="C865" t="s">
        <v>1287</v>
      </c>
      <c r="D865" s="64">
        <f>VLOOKUP(C865,'CHAS - Cook Co'!$C$1:$J$2762,2,FALSE) - VLOOKUP(C865,'CHAS - Chicago'!$C$1:$J$2762,2,FALSE)</f>
        <v>263750</v>
      </c>
      <c r="E865" t="s">
        <v>1192</v>
      </c>
      <c r="F865" s="71" t="s">
        <v>508</v>
      </c>
      <c r="G865" s="71" t="s">
        <v>1190</v>
      </c>
      <c r="H865" s="71" t="s">
        <v>363</v>
      </c>
      <c r="I865" s="71" t="s">
        <v>362</v>
      </c>
    </row>
    <row r="866" spans="1:9" ht="43.5" x14ac:dyDescent="0.35">
      <c r="A866">
        <v>6</v>
      </c>
      <c r="B866">
        <v>88</v>
      </c>
      <c r="C866" t="s">
        <v>1288</v>
      </c>
      <c r="D866" s="64">
        <f>VLOOKUP(C866,'CHAS - Cook Co'!$C$1:$J$2762,2,FALSE) - VLOOKUP(C866,'CHAS - Chicago'!$C$1:$J$2762,2,FALSE)</f>
        <v>20825</v>
      </c>
      <c r="E866" t="s">
        <v>1192</v>
      </c>
      <c r="F866" s="71" t="s">
        <v>508</v>
      </c>
      <c r="G866" s="71" t="s">
        <v>1194</v>
      </c>
      <c r="H866" s="71" t="s">
        <v>363</v>
      </c>
      <c r="I866" s="71" t="s">
        <v>362</v>
      </c>
    </row>
    <row r="867" spans="1:9" ht="43.5" x14ac:dyDescent="0.35">
      <c r="A867">
        <v>6</v>
      </c>
      <c r="B867">
        <v>89</v>
      </c>
      <c r="C867" t="s">
        <v>1289</v>
      </c>
      <c r="D867" s="64">
        <f>VLOOKUP(C867,'CHAS - Cook Co'!$C$1:$J$2762,2,FALSE) - VLOOKUP(C867,'CHAS - Chicago'!$C$1:$J$2762,2,FALSE)</f>
        <v>7960</v>
      </c>
      <c r="E867" t="s">
        <v>1192</v>
      </c>
      <c r="F867" s="71" t="s">
        <v>508</v>
      </c>
      <c r="G867" s="71" t="s">
        <v>1194</v>
      </c>
      <c r="H867" s="71" t="s">
        <v>1196</v>
      </c>
      <c r="I867" s="71" t="s">
        <v>362</v>
      </c>
    </row>
    <row r="868" spans="1:9" ht="43.5" x14ac:dyDescent="0.35">
      <c r="A868">
        <v>6</v>
      </c>
      <c r="B868">
        <v>90</v>
      </c>
      <c r="C868" t="s">
        <v>1290</v>
      </c>
      <c r="D868" s="64">
        <f>VLOOKUP(C868,'CHAS - Cook Co'!$C$1:$J$2762,2,FALSE) - VLOOKUP(C868,'CHAS - Chicago'!$C$1:$J$2762,2,FALSE)</f>
        <v>6505</v>
      </c>
      <c r="E868" t="s">
        <v>1192</v>
      </c>
      <c r="F868" s="71" t="s">
        <v>508</v>
      </c>
      <c r="G868" s="71" t="s">
        <v>1194</v>
      </c>
      <c r="H868" s="71" t="s">
        <v>1196</v>
      </c>
      <c r="I868" s="71" t="s">
        <v>1057</v>
      </c>
    </row>
    <row r="869" spans="1:9" ht="43.5" x14ac:dyDescent="0.35">
      <c r="A869">
        <v>6</v>
      </c>
      <c r="B869">
        <v>91</v>
      </c>
      <c r="C869" t="s">
        <v>1291</v>
      </c>
      <c r="D869" s="64">
        <f>VLOOKUP(C869,'CHAS - Cook Co'!$C$1:$J$2762,2,FALSE) - VLOOKUP(C869,'CHAS - Chicago'!$C$1:$J$2762,2,FALSE)</f>
        <v>1055</v>
      </c>
      <c r="E869" t="s">
        <v>1192</v>
      </c>
      <c r="F869" s="71" t="s">
        <v>508</v>
      </c>
      <c r="G869" s="71" t="s">
        <v>1194</v>
      </c>
      <c r="H869" s="71" t="s">
        <v>1196</v>
      </c>
      <c r="I869" s="71" t="s">
        <v>1082</v>
      </c>
    </row>
    <row r="870" spans="1:9" ht="58" x14ac:dyDescent="0.35">
      <c r="A870">
        <v>6</v>
      </c>
      <c r="B870">
        <v>92</v>
      </c>
      <c r="C870" t="s">
        <v>1292</v>
      </c>
      <c r="D870" s="64">
        <f>VLOOKUP(C870,'CHAS - Cook Co'!$C$1:$J$2762,2,FALSE) - VLOOKUP(C870,'CHAS - Chicago'!$C$1:$J$2762,2,FALSE)</f>
        <v>395</v>
      </c>
      <c r="E870" t="s">
        <v>1192</v>
      </c>
      <c r="F870" s="71" t="s">
        <v>508</v>
      </c>
      <c r="G870" s="71" t="s">
        <v>1194</v>
      </c>
      <c r="H870" s="71" t="s">
        <v>1196</v>
      </c>
      <c r="I870" s="71" t="s">
        <v>1013</v>
      </c>
    </row>
    <row r="871" spans="1:9" ht="43.5" x14ac:dyDescent="0.35">
      <c r="A871">
        <v>6</v>
      </c>
      <c r="B871">
        <v>93</v>
      </c>
      <c r="C871" t="s">
        <v>1293</v>
      </c>
      <c r="D871" s="64">
        <f>VLOOKUP(C871,'CHAS - Cook Co'!$C$1:$J$2762,2,FALSE) - VLOOKUP(C871,'CHAS - Chicago'!$C$1:$J$2762,2,FALSE)</f>
        <v>4395</v>
      </c>
      <c r="E871" t="s">
        <v>1192</v>
      </c>
      <c r="F871" s="71" t="s">
        <v>508</v>
      </c>
      <c r="G871" s="71" t="s">
        <v>1194</v>
      </c>
      <c r="H871" s="71" t="s">
        <v>1201</v>
      </c>
      <c r="I871" s="71" t="s">
        <v>362</v>
      </c>
    </row>
    <row r="872" spans="1:9" ht="43.5" x14ac:dyDescent="0.35">
      <c r="A872">
        <v>6</v>
      </c>
      <c r="B872">
        <v>94</v>
      </c>
      <c r="C872" t="s">
        <v>1294</v>
      </c>
      <c r="D872" s="64">
        <f>VLOOKUP(C872,'CHAS - Cook Co'!$C$1:$J$2762,2,FALSE) - VLOOKUP(C872,'CHAS - Chicago'!$C$1:$J$2762,2,FALSE)</f>
        <v>3690</v>
      </c>
      <c r="E872" t="s">
        <v>1192</v>
      </c>
      <c r="F872" s="71" t="s">
        <v>508</v>
      </c>
      <c r="G872" s="71" t="s">
        <v>1194</v>
      </c>
      <c r="H872" s="71" t="s">
        <v>1201</v>
      </c>
      <c r="I872" s="71" t="s">
        <v>1057</v>
      </c>
    </row>
    <row r="873" spans="1:9" ht="43.5" x14ac:dyDescent="0.35">
      <c r="A873">
        <v>6</v>
      </c>
      <c r="B873">
        <v>95</v>
      </c>
      <c r="C873" t="s">
        <v>1295</v>
      </c>
      <c r="D873" s="64">
        <f>VLOOKUP(C873,'CHAS - Cook Co'!$C$1:$J$2762,2,FALSE) - VLOOKUP(C873,'CHAS - Chicago'!$C$1:$J$2762,2,FALSE)</f>
        <v>705</v>
      </c>
      <c r="E873" t="s">
        <v>1192</v>
      </c>
      <c r="F873" s="71" t="s">
        <v>508</v>
      </c>
      <c r="G873" s="71" t="s">
        <v>1194</v>
      </c>
      <c r="H873" s="71" t="s">
        <v>1201</v>
      </c>
      <c r="I873" s="71" t="s">
        <v>1082</v>
      </c>
    </row>
    <row r="874" spans="1:9" ht="58" x14ac:dyDescent="0.35">
      <c r="A874">
        <v>6</v>
      </c>
      <c r="B874">
        <v>96</v>
      </c>
      <c r="C874" t="s">
        <v>1296</v>
      </c>
      <c r="D874" s="64">
        <f>VLOOKUP(C874,'CHAS - Cook Co'!$C$1:$J$2762,2,FALSE) - VLOOKUP(C874,'CHAS - Chicago'!$C$1:$J$2762,2,FALSE)</f>
        <v>0</v>
      </c>
      <c r="E874" t="s">
        <v>1192</v>
      </c>
      <c r="F874" s="71" t="s">
        <v>508</v>
      </c>
      <c r="G874" s="71" t="s">
        <v>1194</v>
      </c>
      <c r="H874" s="71" t="s">
        <v>1201</v>
      </c>
      <c r="I874" s="71" t="s">
        <v>1013</v>
      </c>
    </row>
    <row r="875" spans="1:9" ht="43.5" x14ac:dyDescent="0.35">
      <c r="A875">
        <v>6</v>
      </c>
      <c r="B875">
        <v>97</v>
      </c>
      <c r="C875" t="s">
        <v>1297</v>
      </c>
      <c r="D875" s="64">
        <f>VLOOKUP(C875,'CHAS - Cook Co'!$C$1:$J$2762,2,FALSE) - VLOOKUP(C875,'CHAS - Chicago'!$C$1:$J$2762,2,FALSE)</f>
        <v>3785</v>
      </c>
      <c r="E875" t="s">
        <v>1192</v>
      </c>
      <c r="F875" s="71" t="s">
        <v>508</v>
      </c>
      <c r="G875" s="71" t="s">
        <v>1194</v>
      </c>
      <c r="H875" s="71" t="s">
        <v>1206</v>
      </c>
      <c r="I875" s="71" t="s">
        <v>362</v>
      </c>
    </row>
    <row r="876" spans="1:9" ht="43.5" x14ac:dyDescent="0.35">
      <c r="A876">
        <v>6</v>
      </c>
      <c r="B876">
        <v>98</v>
      </c>
      <c r="C876" t="s">
        <v>1298</v>
      </c>
      <c r="D876" s="64">
        <f>VLOOKUP(C876,'CHAS - Cook Co'!$C$1:$J$2762,2,FALSE) - VLOOKUP(C876,'CHAS - Chicago'!$C$1:$J$2762,2,FALSE)</f>
        <v>2185</v>
      </c>
      <c r="E876" t="s">
        <v>1192</v>
      </c>
      <c r="F876" s="71" t="s">
        <v>508</v>
      </c>
      <c r="G876" s="71" t="s">
        <v>1194</v>
      </c>
      <c r="H876" s="71" t="s">
        <v>1206</v>
      </c>
      <c r="I876" s="71" t="s">
        <v>1057</v>
      </c>
    </row>
    <row r="877" spans="1:9" ht="43.5" x14ac:dyDescent="0.35">
      <c r="A877">
        <v>6</v>
      </c>
      <c r="B877">
        <v>99</v>
      </c>
      <c r="C877" t="s">
        <v>1299</v>
      </c>
      <c r="D877" s="64">
        <f>VLOOKUP(C877,'CHAS - Cook Co'!$C$1:$J$2762,2,FALSE) - VLOOKUP(C877,'CHAS - Chicago'!$C$1:$J$2762,2,FALSE)</f>
        <v>1600</v>
      </c>
      <c r="E877" t="s">
        <v>1192</v>
      </c>
      <c r="F877" s="71" t="s">
        <v>508</v>
      </c>
      <c r="G877" s="71" t="s">
        <v>1194</v>
      </c>
      <c r="H877" s="71" t="s">
        <v>1206</v>
      </c>
      <c r="I877" s="71" t="s">
        <v>1082</v>
      </c>
    </row>
    <row r="878" spans="1:9" ht="58" x14ac:dyDescent="0.35">
      <c r="A878">
        <v>6</v>
      </c>
      <c r="B878">
        <v>100</v>
      </c>
      <c r="C878" t="s">
        <v>1300</v>
      </c>
      <c r="D878" s="64">
        <f>VLOOKUP(C878,'CHAS - Cook Co'!$C$1:$J$2762,2,FALSE) - VLOOKUP(C878,'CHAS - Chicago'!$C$1:$J$2762,2,FALSE)</f>
        <v>0</v>
      </c>
      <c r="E878" t="s">
        <v>1192</v>
      </c>
      <c r="F878" s="71" t="s">
        <v>508</v>
      </c>
      <c r="G878" s="71" t="s">
        <v>1194</v>
      </c>
      <c r="H878" s="71" t="s">
        <v>1206</v>
      </c>
      <c r="I878" s="71" t="s">
        <v>1013</v>
      </c>
    </row>
    <row r="879" spans="1:9" ht="43.5" x14ac:dyDescent="0.35">
      <c r="A879">
        <v>6</v>
      </c>
      <c r="B879">
        <v>101</v>
      </c>
      <c r="C879" t="s">
        <v>1301</v>
      </c>
      <c r="D879" s="64">
        <f>VLOOKUP(C879,'CHAS - Cook Co'!$C$1:$J$2762,2,FALSE) - VLOOKUP(C879,'CHAS - Chicago'!$C$1:$J$2762,2,FALSE)</f>
        <v>4685</v>
      </c>
      <c r="E879" t="s">
        <v>1192</v>
      </c>
      <c r="F879" s="71" t="s">
        <v>508</v>
      </c>
      <c r="G879" s="71" t="s">
        <v>1194</v>
      </c>
      <c r="H879" s="71" t="s">
        <v>1211</v>
      </c>
      <c r="I879" s="71" t="s">
        <v>362</v>
      </c>
    </row>
    <row r="880" spans="1:9" ht="43.5" x14ac:dyDescent="0.35">
      <c r="A880">
        <v>6</v>
      </c>
      <c r="B880">
        <v>102</v>
      </c>
      <c r="C880" t="s">
        <v>1302</v>
      </c>
      <c r="D880" s="64">
        <f>VLOOKUP(C880,'CHAS - Cook Co'!$C$1:$J$2762,2,FALSE) - VLOOKUP(C880,'CHAS - Chicago'!$C$1:$J$2762,2,FALSE)</f>
        <v>1045</v>
      </c>
      <c r="E880" t="s">
        <v>1192</v>
      </c>
      <c r="F880" s="71" t="s">
        <v>508</v>
      </c>
      <c r="G880" s="71" t="s">
        <v>1194</v>
      </c>
      <c r="H880" s="71" t="s">
        <v>1211</v>
      </c>
      <c r="I880" s="71" t="s">
        <v>1057</v>
      </c>
    </row>
    <row r="881" spans="1:9" ht="43.5" x14ac:dyDescent="0.35">
      <c r="A881">
        <v>6</v>
      </c>
      <c r="B881">
        <v>103</v>
      </c>
      <c r="C881" t="s">
        <v>1303</v>
      </c>
      <c r="D881" s="64">
        <f>VLOOKUP(C881,'CHAS - Cook Co'!$C$1:$J$2762,2,FALSE) - VLOOKUP(C881,'CHAS - Chicago'!$C$1:$J$2762,2,FALSE)</f>
        <v>3645</v>
      </c>
      <c r="E881" t="s">
        <v>1192</v>
      </c>
      <c r="F881" s="71" t="s">
        <v>508</v>
      </c>
      <c r="G881" s="71" t="s">
        <v>1194</v>
      </c>
      <c r="H881" s="71" t="s">
        <v>1211</v>
      </c>
      <c r="I881" s="71" t="s">
        <v>1082</v>
      </c>
    </row>
    <row r="882" spans="1:9" ht="58" x14ac:dyDescent="0.35">
      <c r="A882">
        <v>6</v>
      </c>
      <c r="B882">
        <v>104</v>
      </c>
      <c r="C882" t="s">
        <v>1304</v>
      </c>
      <c r="D882" s="64">
        <f>VLOOKUP(C882,'CHAS - Cook Co'!$C$1:$J$2762,2,FALSE) - VLOOKUP(C882,'CHAS - Chicago'!$C$1:$J$2762,2,FALSE)</f>
        <v>0</v>
      </c>
      <c r="E882" t="s">
        <v>1192</v>
      </c>
      <c r="F882" s="71" t="s">
        <v>508</v>
      </c>
      <c r="G882" s="71" t="s">
        <v>1194</v>
      </c>
      <c r="H882" s="71" t="s">
        <v>1211</v>
      </c>
      <c r="I882" s="71" t="s">
        <v>1013</v>
      </c>
    </row>
    <row r="883" spans="1:9" ht="43.5" x14ac:dyDescent="0.35">
      <c r="A883">
        <v>6</v>
      </c>
      <c r="B883">
        <v>105</v>
      </c>
      <c r="C883" t="s">
        <v>1305</v>
      </c>
      <c r="D883" s="64">
        <f>VLOOKUP(C883,'CHAS - Cook Co'!$C$1:$J$2762,2,FALSE) - VLOOKUP(C883,'CHAS - Chicago'!$C$1:$J$2762,2,FALSE)</f>
        <v>32610</v>
      </c>
      <c r="E883" t="s">
        <v>1192</v>
      </c>
      <c r="F883" s="71" t="s">
        <v>508</v>
      </c>
      <c r="G883" s="71" t="s">
        <v>1216</v>
      </c>
      <c r="H883" s="71" t="s">
        <v>363</v>
      </c>
      <c r="I883" s="71" t="s">
        <v>362</v>
      </c>
    </row>
    <row r="884" spans="1:9" ht="43.5" x14ac:dyDescent="0.35">
      <c r="A884">
        <v>6</v>
      </c>
      <c r="B884">
        <v>106</v>
      </c>
      <c r="C884" t="s">
        <v>1306</v>
      </c>
      <c r="D884" s="64">
        <f>VLOOKUP(C884,'CHAS - Cook Co'!$C$1:$J$2762,2,FALSE) - VLOOKUP(C884,'CHAS - Chicago'!$C$1:$J$2762,2,FALSE)</f>
        <v>14260</v>
      </c>
      <c r="E884" t="s">
        <v>1192</v>
      </c>
      <c r="F884" s="71" t="s">
        <v>508</v>
      </c>
      <c r="G884" s="71" t="s">
        <v>1216</v>
      </c>
      <c r="H884" s="71" t="s">
        <v>1196</v>
      </c>
      <c r="I884" s="71" t="s">
        <v>362</v>
      </c>
    </row>
    <row r="885" spans="1:9" ht="43.5" x14ac:dyDescent="0.35">
      <c r="A885">
        <v>6</v>
      </c>
      <c r="B885">
        <v>107</v>
      </c>
      <c r="C885" t="s">
        <v>1307</v>
      </c>
      <c r="D885" s="64">
        <f>VLOOKUP(C885,'CHAS - Cook Co'!$C$1:$J$2762,2,FALSE) - VLOOKUP(C885,'CHAS - Chicago'!$C$1:$J$2762,2,FALSE)</f>
        <v>11135</v>
      </c>
      <c r="E885" t="s">
        <v>1192</v>
      </c>
      <c r="F885" s="71" t="s">
        <v>508</v>
      </c>
      <c r="G885" s="71" t="s">
        <v>1216</v>
      </c>
      <c r="H885" s="71" t="s">
        <v>1196</v>
      </c>
      <c r="I885" s="71" t="s">
        <v>1057</v>
      </c>
    </row>
    <row r="886" spans="1:9" ht="43.5" x14ac:dyDescent="0.35">
      <c r="A886">
        <v>6</v>
      </c>
      <c r="B886">
        <v>108</v>
      </c>
      <c r="C886" t="s">
        <v>1308</v>
      </c>
      <c r="D886" s="64">
        <f>VLOOKUP(C886,'CHAS - Cook Co'!$C$1:$J$2762,2,FALSE) - VLOOKUP(C886,'CHAS - Chicago'!$C$1:$J$2762,2,FALSE)</f>
        <v>2300</v>
      </c>
      <c r="E886" t="s">
        <v>1192</v>
      </c>
      <c r="F886" s="71" t="s">
        <v>508</v>
      </c>
      <c r="G886" s="71" t="s">
        <v>1216</v>
      </c>
      <c r="H886" s="71" t="s">
        <v>1196</v>
      </c>
      <c r="I886" s="71" t="s">
        <v>1082</v>
      </c>
    </row>
    <row r="887" spans="1:9" ht="58" x14ac:dyDescent="0.35">
      <c r="A887">
        <v>6</v>
      </c>
      <c r="B887">
        <v>109</v>
      </c>
      <c r="C887" t="s">
        <v>1309</v>
      </c>
      <c r="D887" s="64">
        <f>VLOOKUP(C887,'CHAS - Cook Co'!$C$1:$J$2762,2,FALSE) - VLOOKUP(C887,'CHAS - Chicago'!$C$1:$J$2762,2,FALSE)</f>
        <v>825</v>
      </c>
      <c r="E887" t="s">
        <v>1192</v>
      </c>
      <c r="F887" s="71" t="s">
        <v>508</v>
      </c>
      <c r="G887" s="71" t="s">
        <v>1216</v>
      </c>
      <c r="H887" s="71" t="s">
        <v>1196</v>
      </c>
      <c r="I887" s="71" t="s">
        <v>1013</v>
      </c>
    </row>
    <row r="888" spans="1:9" ht="43.5" x14ac:dyDescent="0.35">
      <c r="A888">
        <v>6</v>
      </c>
      <c r="B888">
        <v>110</v>
      </c>
      <c r="C888" t="s">
        <v>1310</v>
      </c>
      <c r="D888" s="64">
        <f>VLOOKUP(C888,'CHAS - Cook Co'!$C$1:$J$2762,2,FALSE) - VLOOKUP(C888,'CHAS - Chicago'!$C$1:$J$2762,2,FALSE)</f>
        <v>7570</v>
      </c>
      <c r="E888" t="s">
        <v>1192</v>
      </c>
      <c r="F888" s="71" t="s">
        <v>508</v>
      </c>
      <c r="G888" s="71" t="s">
        <v>1216</v>
      </c>
      <c r="H888" s="71" t="s">
        <v>1201</v>
      </c>
      <c r="I888" s="71" t="s">
        <v>362</v>
      </c>
    </row>
    <row r="889" spans="1:9" ht="43.5" x14ac:dyDescent="0.35">
      <c r="A889">
        <v>6</v>
      </c>
      <c r="B889">
        <v>111</v>
      </c>
      <c r="C889" t="s">
        <v>1311</v>
      </c>
      <c r="D889" s="64">
        <f>VLOOKUP(C889,'CHAS - Cook Co'!$C$1:$J$2762,2,FALSE) - VLOOKUP(C889,'CHAS - Chicago'!$C$1:$J$2762,2,FALSE)</f>
        <v>6390</v>
      </c>
      <c r="E889" t="s">
        <v>1192</v>
      </c>
      <c r="F889" s="71" t="s">
        <v>508</v>
      </c>
      <c r="G889" s="71" t="s">
        <v>1216</v>
      </c>
      <c r="H889" s="71" t="s">
        <v>1201</v>
      </c>
      <c r="I889" s="71" t="s">
        <v>1057</v>
      </c>
    </row>
    <row r="890" spans="1:9" ht="43.5" x14ac:dyDescent="0.35">
      <c r="A890">
        <v>6</v>
      </c>
      <c r="B890">
        <v>112</v>
      </c>
      <c r="C890" t="s">
        <v>1312</v>
      </c>
      <c r="D890" s="64">
        <f>VLOOKUP(C890,'CHAS - Cook Co'!$C$1:$J$2762,2,FALSE) - VLOOKUP(C890,'CHAS - Chicago'!$C$1:$J$2762,2,FALSE)</f>
        <v>1180</v>
      </c>
      <c r="E890" t="s">
        <v>1192</v>
      </c>
      <c r="F890" s="71" t="s">
        <v>508</v>
      </c>
      <c r="G890" s="71" t="s">
        <v>1216</v>
      </c>
      <c r="H890" s="71" t="s">
        <v>1201</v>
      </c>
      <c r="I890" s="71" t="s">
        <v>1082</v>
      </c>
    </row>
    <row r="891" spans="1:9" ht="58" x14ac:dyDescent="0.35">
      <c r="A891">
        <v>6</v>
      </c>
      <c r="B891">
        <v>113</v>
      </c>
      <c r="C891" t="s">
        <v>1313</v>
      </c>
      <c r="D891" s="64">
        <f>VLOOKUP(C891,'CHAS - Cook Co'!$C$1:$J$2762,2,FALSE) - VLOOKUP(C891,'CHAS - Chicago'!$C$1:$J$2762,2,FALSE)</f>
        <v>0</v>
      </c>
      <c r="E891" t="s">
        <v>1192</v>
      </c>
      <c r="F891" s="71" t="s">
        <v>508</v>
      </c>
      <c r="G891" s="71" t="s">
        <v>1216</v>
      </c>
      <c r="H891" s="71" t="s">
        <v>1201</v>
      </c>
      <c r="I891" s="71" t="s">
        <v>1013</v>
      </c>
    </row>
    <row r="892" spans="1:9" ht="43.5" x14ac:dyDescent="0.35">
      <c r="A892">
        <v>6</v>
      </c>
      <c r="B892">
        <v>114</v>
      </c>
      <c r="C892" t="s">
        <v>1314</v>
      </c>
      <c r="D892" s="64">
        <f>VLOOKUP(C892,'CHAS - Cook Co'!$C$1:$J$2762,2,FALSE) - VLOOKUP(C892,'CHAS - Chicago'!$C$1:$J$2762,2,FALSE)</f>
        <v>5115</v>
      </c>
      <c r="E892" t="s">
        <v>1192</v>
      </c>
      <c r="F892" s="71" t="s">
        <v>508</v>
      </c>
      <c r="G892" s="71" t="s">
        <v>1216</v>
      </c>
      <c r="H892" s="71" t="s">
        <v>1206</v>
      </c>
      <c r="I892" s="71" t="s">
        <v>362</v>
      </c>
    </row>
    <row r="893" spans="1:9" ht="43.5" x14ac:dyDescent="0.35">
      <c r="A893">
        <v>6</v>
      </c>
      <c r="B893">
        <v>115</v>
      </c>
      <c r="C893" t="s">
        <v>1315</v>
      </c>
      <c r="D893" s="64">
        <f>VLOOKUP(C893,'CHAS - Cook Co'!$C$1:$J$2762,2,FALSE) - VLOOKUP(C893,'CHAS - Chicago'!$C$1:$J$2762,2,FALSE)</f>
        <v>2535</v>
      </c>
      <c r="E893" t="s">
        <v>1192</v>
      </c>
      <c r="F893" s="71" t="s">
        <v>508</v>
      </c>
      <c r="G893" s="71" t="s">
        <v>1216</v>
      </c>
      <c r="H893" s="71" t="s">
        <v>1206</v>
      </c>
      <c r="I893" s="71" t="s">
        <v>1057</v>
      </c>
    </row>
    <row r="894" spans="1:9" ht="43.5" x14ac:dyDescent="0.35">
      <c r="A894">
        <v>6</v>
      </c>
      <c r="B894">
        <v>116</v>
      </c>
      <c r="C894" t="s">
        <v>1316</v>
      </c>
      <c r="D894" s="64">
        <f>VLOOKUP(C894,'CHAS - Cook Co'!$C$1:$J$2762,2,FALSE) - VLOOKUP(C894,'CHAS - Chicago'!$C$1:$J$2762,2,FALSE)</f>
        <v>2580</v>
      </c>
      <c r="E894" t="s">
        <v>1192</v>
      </c>
      <c r="F894" s="71" t="s">
        <v>508</v>
      </c>
      <c r="G894" s="71" t="s">
        <v>1216</v>
      </c>
      <c r="H894" s="71" t="s">
        <v>1206</v>
      </c>
      <c r="I894" s="71" t="s">
        <v>1082</v>
      </c>
    </row>
    <row r="895" spans="1:9" ht="58" x14ac:dyDescent="0.35">
      <c r="A895">
        <v>6</v>
      </c>
      <c r="B895">
        <v>117</v>
      </c>
      <c r="C895" t="s">
        <v>1317</v>
      </c>
      <c r="D895" s="64">
        <f>VLOOKUP(C895,'CHAS - Cook Co'!$C$1:$J$2762,2,FALSE) - VLOOKUP(C895,'CHAS - Chicago'!$C$1:$J$2762,2,FALSE)</f>
        <v>0</v>
      </c>
      <c r="E895" t="s">
        <v>1192</v>
      </c>
      <c r="F895" s="71" t="s">
        <v>508</v>
      </c>
      <c r="G895" s="71" t="s">
        <v>1216</v>
      </c>
      <c r="H895" s="71" t="s">
        <v>1206</v>
      </c>
      <c r="I895" s="71" t="s">
        <v>1013</v>
      </c>
    </row>
    <row r="896" spans="1:9" ht="43.5" x14ac:dyDescent="0.35">
      <c r="A896">
        <v>6</v>
      </c>
      <c r="B896">
        <v>118</v>
      </c>
      <c r="C896" t="s">
        <v>1318</v>
      </c>
      <c r="D896" s="64">
        <f>VLOOKUP(C896,'CHAS - Cook Co'!$C$1:$J$2762,2,FALSE) - VLOOKUP(C896,'CHAS - Chicago'!$C$1:$J$2762,2,FALSE)</f>
        <v>5660</v>
      </c>
      <c r="E896" t="s">
        <v>1192</v>
      </c>
      <c r="F896" s="71" t="s">
        <v>508</v>
      </c>
      <c r="G896" s="71" t="s">
        <v>1216</v>
      </c>
      <c r="H896" s="71" t="s">
        <v>1211</v>
      </c>
      <c r="I896" s="71" t="s">
        <v>362</v>
      </c>
    </row>
    <row r="897" spans="1:9" ht="43.5" x14ac:dyDescent="0.35">
      <c r="A897">
        <v>6</v>
      </c>
      <c r="B897">
        <v>119</v>
      </c>
      <c r="C897" t="s">
        <v>1319</v>
      </c>
      <c r="D897" s="64">
        <f>VLOOKUP(C897,'CHAS - Cook Co'!$C$1:$J$2762,2,FALSE) - VLOOKUP(C897,'CHAS - Chicago'!$C$1:$J$2762,2,FALSE)</f>
        <v>1410</v>
      </c>
      <c r="E897" t="s">
        <v>1192</v>
      </c>
      <c r="F897" s="71" t="s">
        <v>508</v>
      </c>
      <c r="G897" s="71" t="s">
        <v>1216</v>
      </c>
      <c r="H897" s="71" t="s">
        <v>1211</v>
      </c>
      <c r="I897" s="71" t="s">
        <v>1057</v>
      </c>
    </row>
    <row r="898" spans="1:9" ht="43.5" x14ac:dyDescent="0.35">
      <c r="A898">
        <v>6</v>
      </c>
      <c r="B898">
        <v>120</v>
      </c>
      <c r="C898" t="s">
        <v>1320</v>
      </c>
      <c r="D898" s="64">
        <f>VLOOKUP(C898,'CHAS - Cook Co'!$C$1:$J$2762,2,FALSE) - VLOOKUP(C898,'CHAS - Chicago'!$C$1:$J$2762,2,FALSE)</f>
        <v>4250</v>
      </c>
      <c r="E898" t="s">
        <v>1192</v>
      </c>
      <c r="F898" s="71" t="s">
        <v>508</v>
      </c>
      <c r="G898" s="71" t="s">
        <v>1216</v>
      </c>
      <c r="H898" s="71" t="s">
        <v>1211</v>
      </c>
      <c r="I898" s="71" t="s">
        <v>1082</v>
      </c>
    </row>
    <row r="899" spans="1:9" ht="58" x14ac:dyDescent="0.35">
      <c r="A899">
        <v>6</v>
      </c>
      <c r="B899">
        <v>121</v>
      </c>
      <c r="C899" t="s">
        <v>1321</v>
      </c>
      <c r="D899" s="64">
        <f>VLOOKUP(C899,'CHAS - Cook Co'!$C$1:$J$2762,2,FALSE) - VLOOKUP(C899,'CHAS - Chicago'!$C$1:$J$2762,2,FALSE)</f>
        <v>0</v>
      </c>
      <c r="E899" t="s">
        <v>1192</v>
      </c>
      <c r="F899" s="71" t="s">
        <v>508</v>
      </c>
      <c r="G899" s="71" t="s">
        <v>1216</v>
      </c>
      <c r="H899" s="71" t="s">
        <v>1211</v>
      </c>
      <c r="I899" s="71" t="s">
        <v>1013</v>
      </c>
    </row>
    <row r="900" spans="1:9" ht="29" x14ac:dyDescent="0.35">
      <c r="A900">
        <v>6</v>
      </c>
      <c r="B900">
        <v>122</v>
      </c>
      <c r="C900" t="s">
        <v>1322</v>
      </c>
      <c r="D900" s="64">
        <f>VLOOKUP(C900,'CHAS - Cook Co'!$C$1:$J$2762,2,FALSE) - VLOOKUP(C900,'CHAS - Chicago'!$C$1:$J$2762,2,FALSE)</f>
        <v>20940</v>
      </c>
      <c r="E900" t="s">
        <v>1192</v>
      </c>
      <c r="F900" s="71" t="s">
        <v>508</v>
      </c>
      <c r="G900" s="71" t="s">
        <v>1234</v>
      </c>
      <c r="H900" s="71" t="s">
        <v>363</v>
      </c>
      <c r="I900" s="71" t="s">
        <v>362</v>
      </c>
    </row>
    <row r="901" spans="1:9" ht="43.5" x14ac:dyDescent="0.35">
      <c r="A901">
        <v>6</v>
      </c>
      <c r="B901">
        <v>123</v>
      </c>
      <c r="C901" t="s">
        <v>1323</v>
      </c>
      <c r="D901" s="64">
        <f>VLOOKUP(C901,'CHAS - Cook Co'!$C$1:$J$2762,2,FALSE) - VLOOKUP(C901,'CHAS - Chicago'!$C$1:$J$2762,2,FALSE)</f>
        <v>8940</v>
      </c>
      <c r="E901" t="s">
        <v>1192</v>
      </c>
      <c r="F901" s="71" t="s">
        <v>508</v>
      </c>
      <c r="G901" s="71" t="s">
        <v>1234</v>
      </c>
      <c r="H901" s="71" t="s">
        <v>1196</v>
      </c>
      <c r="I901" s="71" t="s">
        <v>362</v>
      </c>
    </row>
    <row r="902" spans="1:9" ht="43.5" x14ac:dyDescent="0.35">
      <c r="A902">
        <v>6</v>
      </c>
      <c r="B902">
        <v>124</v>
      </c>
      <c r="C902" t="s">
        <v>1324</v>
      </c>
      <c r="D902" s="64">
        <f>VLOOKUP(C902,'CHAS - Cook Co'!$C$1:$J$2762,2,FALSE) - VLOOKUP(C902,'CHAS - Chicago'!$C$1:$J$2762,2,FALSE)</f>
        <v>7295</v>
      </c>
      <c r="E902" t="s">
        <v>1192</v>
      </c>
      <c r="F902" s="71" t="s">
        <v>508</v>
      </c>
      <c r="G902" s="71" t="s">
        <v>1234</v>
      </c>
      <c r="H902" s="71" t="s">
        <v>1196</v>
      </c>
      <c r="I902" s="71" t="s">
        <v>1057</v>
      </c>
    </row>
    <row r="903" spans="1:9" ht="43.5" x14ac:dyDescent="0.35">
      <c r="A903">
        <v>6</v>
      </c>
      <c r="B903">
        <v>125</v>
      </c>
      <c r="C903" t="s">
        <v>1325</v>
      </c>
      <c r="D903" s="64">
        <f>VLOOKUP(C903,'CHAS - Cook Co'!$C$1:$J$2762,2,FALSE) - VLOOKUP(C903,'CHAS - Chicago'!$C$1:$J$2762,2,FALSE)</f>
        <v>1035</v>
      </c>
      <c r="E903" t="s">
        <v>1192</v>
      </c>
      <c r="F903" s="71" t="s">
        <v>508</v>
      </c>
      <c r="G903" s="71" t="s">
        <v>1234</v>
      </c>
      <c r="H903" s="71" t="s">
        <v>1196</v>
      </c>
      <c r="I903" s="71" t="s">
        <v>1082</v>
      </c>
    </row>
    <row r="904" spans="1:9" ht="58" x14ac:dyDescent="0.35">
      <c r="A904">
        <v>6</v>
      </c>
      <c r="B904">
        <v>126</v>
      </c>
      <c r="C904" t="s">
        <v>1326</v>
      </c>
      <c r="D904" s="64">
        <f>VLOOKUP(C904,'CHAS - Cook Co'!$C$1:$J$2762,2,FALSE) - VLOOKUP(C904,'CHAS - Chicago'!$C$1:$J$2762,2,FALSE)</f>
        <v>605</v>
      </c>
      <c r="E904" t="s">
        <v>1192</v>
      </c>
      <c r="F904" s="71" t="s">
        <v>508</v>
      </c>
      <c r="G904" s="71" t="s">
        <v>1234</v>
      </c>
      <c r="H904" s="71" t="s">
        <v>1196</v>
      </c>
      <c r="I904" s="71" t="s">
        <v>1013</v>
      </c>
    </row>
    <row r="905" spans="1:9" ht="43.5" x14ac:dyDescent="0.35">
      <c r="A905">
        <v>6</v>
      </c>
      <c r="B905">
        <v>127</v>
      </c>
      <c r="C905" t="s">
        <v>1327</v>
      </c>
      <c r="D905" s="64">
        <f>VLOOKUP(C905,'CHAS - Cook Co'!$C$1:$J$2762,2,FALSE) - VLOOKUP(C905,'CHAS - Chicago'!$C$1:$J$2762,2,FALSE)</f>
        <v>4395</v>
      </c>
      <c r="E905" t="s">
        <v>1192</v>
      </c>
      <c r="F905" s="71" t="s">
        <v>508</v>
      </c>
      <c r="G905" s="71" t="s">
        <v>1234</v>
      </c>
      <c r="H905" s="71" t="s">
        <v>1201</v>
      </c>
      <c r="I905" s="71" t="s">
        <v>362</v>
      </c>
    </row>
    <row r="906" spans="1:9" ht="43.5" x14ac:dyDescent="0.35">
      <c r="A906">
        <v>6</v>
      </c>
      <c r="B906">
        <v>128</v>
      </c>
      <c r="C906" t="s">
        <v>1328</v>
      </c>
      <c r="D906" s="64">
        <f>VLOOKUP(C906,'CHAS - Cook Co'!$C$1:$J$2762,2,FALSE) - VLOOKUP(C906,'CHAS - Chicago'!$C$1:$J$2762,2,FALSE)</f>
        <v>3685</v>
      </c>
      <c r="E906" t="s">
        <v>1192</v>
      </c>
      <c r="F906" s="71" t="s">
        <v>508</v>
      </c>
      <c r="G906" s="71" t="s">
        <v>1234</v>
      </c>
      <c r="H906" s="71" t="s">
        <v>1201</v>
      </c>
      <c r="I906" s="71" t="s">
        <v>1057</v>
      </c>
    </row>
    <row r="907" spans="1:9" ht="43.5" x14ac:dyDescent="0.35">
      <c r="A907">
        <v>6</v>
      </c>
      <c r="B907">
        <v>129</v>
      </c>
      <c r="C907" t="s">
        <v>1329</v>
      </c>
      <c r="D907" s="64">
        <f>VLOOKUP(C907,'CHAS - Cook Co'!$C$1:$J$2762,2,FALSE) - VLOOKUP(C907,'CHAS - Chicago'!$C$1:$J$2762,2,FALSE)</f>
        <v>705</v>
      </c>
      <c r="E907" t="s">
        <v>1192</v>
      </c>
      <c r="F907" s="71" t="s">
        <v>508</v>
      </c>
      <c r="G907" s="71" t="s">
        <v>1234</v>
      </c>
      <c r="H907" s="71" t="s">
        <v>1201</v>
      </c>
      <c r="I907" s="71" t="s">
        <v>1082</v>
      </c>
    </row>
    <row r="908" spans="1:9" ht="58" x14ac:dyDescent="0.35">
      <c r="A908">
        <v>6</v>
      </c>
      <c r="B908">
        <v>130</v>
      </c>
      <c r="C908" t="s">
        <v>1330</v>
      </c>
      <c r="D908" s="64">
        <f>VLOOKUP(C908,'CHAS - Cook Co'!$C$1:$J$2762,2,FALSE) - VLOOKUP(C908,'CHAS - Chicago'!$C$1:$J$2762,2,FALSE)</f>
        <v>0</v>
      </c>
      <c r="E908" t="s">
        <v>1192</v>
      </c>
      <c r="F908" s="71" t="s">
        <v>508</v>
      </c>
      <c r="G908" s="71" t="s">
        <v>1234</v>
      </c>
      <c r="H908" s="71" t="s">
        <v>1201</v>
      </c>
      <c r="I908" s="71" t="s">
        <v>1013</v>
      </c>
    </row>
    <row r="909" spans="1:9" ht="43.5" x14ac:dyDescent="0.35">
      <c r="A909">
        <v>6</v>
      </c>
      <c r="B909">
        <v>131</v>
      </c>
      <c r="C909" t="s">
        <v>1331</v>
      </c>
      <c r="D909" s="64">
        <f>VLOOKUP(C909,'CHAS - Cook Co'!$C$1:$J$2762,2,FALSE) - VLOOKUP(C909,'CHAS - Chicago'!$C$1:$J$2762,2,FALSE)</f>
        <v>3730</v>
      </c>
      <c r="E909" t="s">
        <v>1192</v>
      </c>
      <c r="F909" s="71" t="s">
        <v>508</v>
      </c>
      <c r="G909" s="71" t="s">
        <v>1234</v>
      </c>
      <c r="H909" s="71" t="s">
        <v>1206</v>
      </c>
      <c r="I909" s="71" t="s">
        <v>362</v>
      </c>
    </row>
    <row r="910" spans="1:9" ht="43.5" x14ac:dyDescent="0.35">
      <c r="A910">
        <v>6</v>
      </c>
      <c r="B910">
        <v>132</v>
      </c>
      <c r="C910" t="s">
        <v>1332</v>
      </c>
      <c r="D910" s="64">
        <f>VLOOKUP(C910,'CHAS - Cook Co'!$C$1:$J$2762,2,FALSE) - VLOOKUP(C910,'CHAS - Chicago'!$C$1:$J$2762,2,FALSE)</f>
        <v>1765</v>
      </c>
      <c r="E910" t="s">
        <v>1192</v>
      </c>
      <c r="F910" s="71" t="s">
        <v>508</v>
      </c>
      <c r="G910" s="71" t="s">
        <v>1234</v>
      </c>
      <c r="H910" s="71" t="s">
        <v>1206</v>
      </c>
      <c r="I910" s="71" t="s">
        <v>1057</v>
      </c>
    </row>
    <row r="911" spans="1:9" ht="43.5" x14ac:dyDescent="0.35">
      <c r="A911">
        <v>6</v>
      </c>
      <c r="B911">
        <v>133</v>
      </c>
      <c r="C911" t="s">
        <v>1333</v>
      </c>
      <c r="D911" s="64">
        <f>VLOOKUP(C911,'CHAS - Cook Co'!$C$1:$J$2762,2,FALSE) - VLOOKUP(C911,'CHAS - Chicago'!$C$1:$J$2762,2,FALSE)</f>
        <v>1970</v>
      </c>
      <c r="E911" t="s">
        <v>1192</v>
      </c>
      <c r="F911" s="71" t="s">
        <v>508</v>
      </c>
      <c r="G911" s="71" t="s">
        <v>1234</v>
      </c>
      <c r="H911" s="71" t="s">
        <v>1206</v>
      </c>
      <c r="I911" s="71" t="s">
        <v>1082</v>
      </c>
    </row>
    <row r="912" spans="1:9" ht="58" x14ac:dyDescent="0.35">
      <c r="A912">
        <v>6</v>
      </c>
      <c r="B912">
        <v>134</v>
      </c>
      <c r="C912" t="s">
        <v>1334</v>
      </c>
      <c r="D912" s="64">
        <f>VLOOKUP(C912,'CHAS - Cook Co'!$C$1:$J$2762,2,FALSE) - VLOOKUP(C912,'CHAS - Chicago'!$C$1:$J$2762,2,FALSE)</f>
        <v>0</v>
      </c>
      <c r="E912" t="s">
        <v>1192</v>
      </c>
      <c r="F912" s="71" t="s">
        <v>508</v>
      </c>
      <c r="G912" s="71" t="s">
        <v>1234</v>
      </c>
      <c r="H912" s="71" t="s">
        <v>1206</v>
      </c>
      <c r="I912" s="71" t="s">
        <v>1013</v>
      </c>
    </row>
    <row r="913" spans="1:9" ht="43.5" x14ac:dyDescent="0.35">
      <c r="A913">
        <v>6</v>
      </c>
      <c r="B913">
        <v>135</v>
      </c>
      <c r="C913" t="s">
        <v>1335</v>
      </c>
      <c r="D913" s="64">
        <f>VLOOKUP(C913,'CHAS - Cook Co'!$C$1:$J$2762,2,FALSE) - VLOOKUP(C913,'CHAS - Chicago'!$C$1:$J$2762,2,FALSE)</f>
        <v>3880</v>
      </c>
      <c r="E913" t="s">
        <v>1192</v>
      </c>
      <c r="F913" s="71" t="s">
        <v>508</v>
      </c>
      <c r="G913" s="71" t="s">
        <v>1234</v>
      </c>
      <c r="H913" s="71" t="s">
        <v>1211</v>
      </c>
      <c r="I913" s="71" t="s">
        <v>362</v>
      </c>
    </row>
    <row r="914" spans="1:9" ht="43.5" x14ac:dyDescent="0.35">
      <c r="A914">
        <v>6</v>
      </c>
      <c r="B914">
        <v>136</v>
      </c>
      <c r="C914" t="s">
        <v>1336</v>
      </c>
      <c r="D914" s="64">
        <f>VLOOKUP(C914,'CHAS - Cook Co'!$C$1:$J$2762,2,FALSE) - VLOOKUP(C914,'CHAS - Chicago'!$C$1:$J$2762,2,FALSE)</f>
        <v>870</v>
      </c>
      <c r="E914" t="s">
        <v>1192</v>
      </c>
      <c r="F914" s="71" t="s">
        <v>508</v>
      </c>
      <c r="G914" s="71" t="s">
        <v>1234</v>
      </c>
      <c r="H914" s="71" t="s">
        <v>1211</v>
      </c>
      <c r="I914" s="71" t="s">
        <v>1057</v>
      </c>
    </row>
    <row r="915" spans="1:9" ht="43.5" x14ac:dyDescent="0.35">
      <c r="A915">
        <v>6</v>
      </c>
      <c r="B915">
        <v>137</v>
      </c>
      <c r="C915" t="s">
        <v>1337</v>
      </c>
      <c r="D915" s="64">
        <f>VLOOKUP(C915,'CHAS - Cook Co'!$C$1:$J$2762,2,FALSE) - VLOOKUP(C915,'CHAS - Chicago'!$C$1:$J$2762,2,FALSE)</f>
        <v>3005</v>
      </c>
      <c r="E915" t="s">
        <v>1192</v>
      </c>
      <c r="F915" s="71" t="s">
        <v>508</v>
      </c>
      <c r="G915" s="71" t="s">
        <v>1234</v>
      </c>
      <c r="H915" s="71" t="s">
        <v>1211</v>
      </c>
      <c r="I915" s="71" t="s">
        <v>1082</v>
      </c>
    </row>
    <row r="916" spans="1:9" ht="58" x14ac:dyDescent="0.35">
      <c r="A916">
        <v>6</v>
      </c>
      <c r="B916">
        <v>138</v>
      </c>
      <c r="C916" t="s">
        <v>1338</v>
      </c>
      <c r="D916" s="64">
        <f>VLOOKUP(C916,'CHAS - Cook Co'!$C$1:$J$2762,2,FALSE) - VLOOKUP(C916,'CHAS - Chicago'!$C$1:$J$2762,2,FALSE)</f>
        <v>0</v>
      </c>
      <c r="E916" t="s">
        <v>1192</v>
      </c>
      <c r="F916" s="71" t="s">
        <v>508</v>
      </c>
      <c r="G916" s="71" t="s">
        <v>1234</v>
      </c>
      <c r="H916" s="71" t="s">
        <v>1211</v>
      </c>
      <c r="I916" s="71" t="s">
        <v>1013</v>
      </c>
    </row>
    <row r="917" spans="1:9" ht="43.5" x14ac:dyDescent="0.35">
      <c r="A917">
        <v>6</v>
      </c>
      <c r="B917">
        <v>139</v>
      </c>
      <c r="C917" t="s">
        <v>1339</v>
      </c>
      <c r="D917" s="64">
        <f>VLOOKUP(C917,'CHAS - Cook Co'!$C$1:$J$2762,2,FALSE) - VLOOKUP(C917,'CHAS - Chicago'!$C$1:$J$2762,2,FALSE)</f>
        <v>26685</v>
      </c>
      <c r="E917" t="s">
        <v>1192</v>
      </c>
      <c r="F917" s="71" t="s">
        <v>508</v>
      </c>
      <c r="G917" s="71" t="s">
        <v>1252</v>
      </c>
      <c r="H917" s="71" t="s">
        <v>363</v>
      </c>
      <c r="I917" s="71" t="s">
        <v>362</v>
      </c>
    </row>
    <row r="918" spans="1:9" ht="43.5" x14ac:dyDescent="0.35">
      <c r="A918">
        <v>6</v>
      </c>
      <c r="B918">
        <v>140</v>
      </c>
      <c r="C918" t="s">
        <v>1340</v>
      </c>
      <c r="D918" s="64">
        <f>VLOOKUP(C918,'CHAS - Cook Co'!$C$1:$J$2762,2,FALSE) - VLOOKUP(C918,'CHAS - Chicago'!$C$1:$J$2762,2,FALSE)</f>
        <v>11735</v>
      </c>
      <c r="E918" t="s">
        <v>1192</v>
      </c>
      <c r="F918" s="71" t="s">
        <v>508</v>
      </c>
      <c r="G918" s="71" t="s">
        <v>1252</v>
      </c>
      <c r="H918" s="71" t="s">
        <v>1196</v>
      </c>
      <c r="I918" s="71" t="s">
        <v>362</v>
      </c>
    </row>
    <row r="919" spans="1:9" ht="43.5" x14ac:dyDescent="0.35">
      <c r="A919">
        <v>6</v>
      </c>
      <c r="B919">
        <v>141</v>
      </c>
      <c r="C919" t="s">
        <v>1341</v>
      </c>
      <c r="D919" s="64">
        <f>VLOOKUP(C919,'CHAS - Cook Co'!$C$1:$J$2762,2,FALSE) - VLOOKUP(C919,'CHAS - Chicago'!$C$1:$J$2762,2,FALSE)</f>
        <v>9205</v>
      </c>
      <c r="E919" t="s">
        <v>1192</v>
      </c>
      <c r="F919" s="71" t="s">
        <v>508</v>
      </c>
      <c r="G919" s="71" t="s">
        <v>1252</v>
      </c>
      <c r="H919" s="71" t="s">
        <v>1196</v>
      </c>
      <c r="I919" s="71" t="s">
        <v>1057</v>
      </c>
    </row>
    <row r="920" spans="1:9" ht="43.5" x14ac:dyDescent="0.35">
      <c r="A920">
        <v>6</v>
      </c>
      <c r="B920">
        <v>142</v>
      </c>
      <c r="C920" t="s">
        <v>1342</v>
      </c>
      <c r="D920" s="64">
        <f>VLOOKUP(C920,'CHAS - Cook Co'!$C$1:$J$2762,2,FALSE) - VLOOKUP(C920,'CHAS - Chicago'!$C$1:$J$2762,2,FALSE)</f>
        <v>2010</v>
      </c>
      <c r="E920" t="s">
        <v>1192</v>
      </c>
      <c r="F920" s="71" t="s">
        <v>508</v>
      </c>
      <c r="G920" s="71" t="s">
        <v>1252</v>
      </c>
      <c r="H920" s="71" t="s">
        <v>1196</v>
      </c>
      <c r="I920" s="71" t="s">
        <v>1082</v>
      </c>
    </row>
    <row r="921" spans="1:9" ht="58" x14ac:dyDescent="0.35">
      <c r="A921">
        <v>6</v>
      </c>
      <c r="B921">
        <v>143</v>
      </c>
      <c r="C921" t="s">
        <v>1343</v>
      </c>
      <c r="D921" s="64">
        <f>VLOOKUP(C921,'CHAS - Cook Co'!$C$1:$J$2762,2,FALSE) - VLOOKUP(C921,'CHAS - Chicago'!$C$1:$J$2762,2,FALSE)</f>
        <v>525</v>
      </c>
      <c r="E921" t="s">
        <v>1192</v>
      </c>
      <c r="F921" s="71" t="s">
        <v>508</v>
      </c>
      <c r="G921" s="71" t="s">
        <v>1252</v>
      </c>
      <c r="H921" s="71" t="s">
        <v>1196</v>
      </c>
      <c r="I921" s="71" t="s">
        <v>1013</v>
      </c>
    </row>
    <row r="922" spans="1:9" ht="43.5" x14ac:dyDescent="0.35">
      <c r="A922">
        <v>6</v>
      </c>
      <c r="B922">
        <v>144</v>
      </c>
      <c r="C922" t="s">
        <v>1344</v>
      </c>
      <c r="D922" s="64">
        <f>VLOOKUP(C922,'CHAS - Cook Co'!$C$1:$J$2762,2,FALSE) - VLOOKUP(C922,'CHAS - Chicago'!$C$1:$J$2762,2,FALSE)</f>
        <v>6030</v>
      </c>
      <c r="E922" t="s">
        <v>1192</v>
      </c>
      <c r="F922" s="71" t="s">
        <v>508</v>
      </c>
      <c r="G922" s="71" t="s">
        <v>1252</v>
      </c>
      <c r="H922" s="71" t="s">
        <v>1201</v>
      </c>
      <c r="I922" s="71" t="s">
        <v>362</v>
      </c>
    </row>
    <row r="923" spans="1:9" ht="43.5" x14ac:dyDescent="0.35">
      <c r="A923">
        <v>6</v>
      </c>
      <c r="B923">
        <v>145</v>
      </c>
      <c r="C923" t="s">
        <v>1345</v>
      </c>
      <c r="D923" s="64">
        <f>VLOOKUP(C923,'CHAS - Cook Co'!$C$1:$J$2762,2,FALSE) - VLOOKUP(C923,'CHAS - Chicago'!$C$1:$J$2762,2,FALSE)</f>
        <v>5065</v>
      </c>
      <c r="E923" t="s">
        <v>1192</v>
      </c>
      <c r="F923" s="71" t="s">
        <v>508</v>
      </c>
      <c r="G923" s="71" t="s">
        <v>1252</v>
      </c>
      <c r="H923" s="71" t="s">
        <v>1201</v>
      </c>
      <c r="I923" s="71" t="s">
        <v>1057</v>
      </c>
    </row>
    <row r="924" spans="1:9" ht="43.5" x14ac:dyDescent="0.35">
      <c r="A924">
        <v>6</v>
      </c>
      <c r="B924">
        <v>146</v>
      </c>
      <c r="C924" t="s">
        <v>1346</v>
      </c>
      <c r="D924" s="64">
        <f>VLOOKUP(C924,'CHAS - Cook Co'!$C$1:$J$2762,2,FALSE) - VLOOKUP(C924,'CHAS - Chicago'!$C$1:$J$2762,2,FALSE)</f>
        <v>960</v>
      </c>
      <c r="E924" t="s">
        <v>1192</v>
      </c>
      <c r="F924" s="71" t="s">
        <v>508</v>
      </c>
      <c r="G924" s="71" t="s">
        <v>1252</v>
      </c>
      <c r="H924" s="71" t="s">
        <v>1201</v>
      </c>
      <c r="I924" s="71" t="s">
        <v>1082</v>
      </c>
    </row>
    <row r="925" spans="1:9" ht="58" x14ac:dyDescent="0.35">
      <c r="A925">
        <v>6</v>
      </c>
      <c r="B925">
        <v>147</v>
      </c>
      <c r="C925" t="s">
        <v>1347</v>
      </c>
      <c r="D925" s="64">
        <f>VLOOKUP(C925,'CHAS - Cook Co'!$C$1:$J$2762,2,FALSE) - VLOOKUP(C925,'CHAS - Chicago'!$C$1:$J$2762,2,FALSE)</f>
        <v>0</v>
      </c>
      <c r="E925" t="s">
        <v>1192</v>
      </c>
      <c r="F925" s="71" t="s">
        <v>508</v>
      </c>
      <c r="G925" s="71" t="s">
        <v>1252</v>
      </c>
      <c r="H925" s="71" t="s">
        <v>1201</v>
      </c>
      <c r="I925" s="71" t="s">
        <v>1013</v>
      </c>
    </row>
    <row r="926" spans="1:9" ht="43.5" x14ac:dyDescent="0.35">
      <c r="A926">
        <v>6</v>
      </c>
      <c r="B926">
        <v>148</v>
      </c>
      <c r="C926" t="s">
        <v>1348</v>
      </c>
      <c r="D926" s="64">
        <f>VLOOKUP(C926,'CHAS - Cook Co'!$C$1:$J$2762,2,FALSE) - VLOOKUP(C926,'CHAS - Chicago'!$C$1:$J$2762,2,FALSE)</f>
        <v>4335</v>
      </c>
      <c r="E926" t="s">
        <v>1192</v>
      </c>
      <c r="F926" s="71" t="s">
        <v>508</v>
      </c>
      <c r="G926" s="71" t="s">
        <v>1252</v>
      </c>
      <c r="H926" s="71" t="s">
        <v>1206</v>
      </c>
      <c r="I926" s="71" t="s">
        <v>362</v>
      </c>
    </row>
    <row r="927" spans="1:9" ht="43.5" x14ac:dyDescent="0.35">
      <c r="A927">
        <v>6</v>
      </c>
      <c r="B927">
        <v>149</v>
      </c>
      <c r="C927" t="s">
        <v>1349</v>
      </c>
      <c r="D927" s="64">
        <f>VLOOKUP(C927,'CHAS - Cook Co'!$C$1:$J$2762,2,FALSE) - VLOOKUP(C927,'CHAS - Chicago'!$C$1:$J$2762,2,FALSE)</f>
        <v>2105</v>
      </c>
      <c r="E927" t="s">
        <v>1192</v>
      </c>
      <c r="F927" s="71" t="s">
        <v>508</v>
      </c>
      <c r="G927" s="71" t="s">
        <v>1252</v>
      </c>
      <c r="H927" s="71" t="s">
        <v>1206</v>
      </c>
      <c r="I927" s="71" t="s">
        <v>1057</v>
      </c>
    </row>
    <row r="928" spans="1:9" ht="43.5" x14ac:dyDescent="0.35">
      <c r="A928">
        <v>6</v>
      </c>
      <c r="B928">
        <v>150</v>
      </c>
      <c r="C928" t="s">
        <v>1350</v>
      </c>
      <c r="D928" s="64">
        <f>VLOOKUP(C928,'CHAS - Cook Co'!$C$1:$J$2762,2,FALSE) - VLOOKUP(C928,'CHAS - Chicago'!$C$1:$J$2762,2,FALSE)</f>
        <v>2230</v>
      </c>
      <c r="E928" t="s">
        <v>1192</v>
      </c>
      <c r="F928" s="71" t="s">
        <v>508</v>
      </c>
      <c r="G928" s="71" t="s">
        <v>1252</v>
      </c>
      <c r="H928" s="71" t="s">
        <v>1206</v>
      </c>
      <c r="I928" s="71" t="s">
        <v>1082</v>
      </c>
    </row>
    <row r="929" spans="1:9" ht="58" x14ac:dyDescent="0.35">
      <c r="A929">
        <v>6</v>
      </c>
      <c r="B929">
        <v>151</v>
      </c>
      <c r="C929" t="s">
        <v>1351</v>
      </c>
      <c r="D929" s="64">
        <f>VLOOKUP(C929,'CHAS - Cook Co'!$C$1:$J$2762,2,FALSE) - VLOOKUP(C929,'CHAS - Chicago'!$C$1:$J$2762,2,FALSE)</f>
        <v>0</v>
      </c>
      <c r="E929" t="s">
        <v>1192</v>
      </c>
      <c r="F929" s="71" t="s">
        <v>508</v>
      </c>
      <c r="G929" s="71" t="s">
        <v>1252</v>
      </c>
      <c r="H929" s="71" t="s">
        <v>1206</v>
      </c>
      <c r="I929" s="71" t="s">
        <v>1013</v>
      </c>
    </row>
    <row r="930" spans="1:9" ht="43.5" x14ac:dyDescent="0.35">
      <c r="A930">
        <v>6</v>
      </c>
      <c r="B930">
        <v>152</v>
      </c>
      <c r="C930" t="s">
        <v>1352</v>
      </c>
      <c r="D930" s="64">
        <f>VLOOKUP(C930,'CHAS - Cook Co'!$C$1:$J$2762,2,FALSE) - VLOOKUP(C930,'CHAS - Chicago'!$C$1:$J$2762,2,FALSE)</f>
        <v>4585</v>
      </c>
      <c r="E930" t="s">
        <v>1192</v>
      </c>
      <c r="F930" s="71" t="s">
        <v>508</v>
      </c>
      <c r="G930" s="71" t="s">
        <v>1252</v>
      </c>
      <c r="H930" s="71" t="s">
        <v>1211</v>
      </c>
      <c r="I930" s="71" t="s">
        <v>362</v>
      </c>
    </row>
    <row r="931" spans="1:9" ht="43.5" x14ac:dyDescent="0.35">
      <c r="A931">
        <v>6</v>
      </c>
      <c r="B931">
        <v>153</v>
      </c>
      <c r="C931" t="s">
        <v>1353</v>
      </c>
      <c r="D931" s="64">
        <f>VLOOKUP(C931,'CHAS - Cook Co'!$C$1:$J$2762,2,FALSE) - VLOOKUP(C931,'CHAS - Chicago'!$C$1:$J$2762,2,FALSE)</f>
        <v>1285</v>
      </c>
      <c r="E931" t="s">
        <v>1192</v>
      </c>
      <c r="F931" s="71" t="s">
        <v>508</v>
      </c>
      <c r="G931" s="71" t="s">
        <v>1252</v>
      </c>
      <c r="H931" s="71" t="s">
        <v>1211</v>
      </c>
      <c r="I931" s="71" t="s">
        <v>1057</v>
      </c>
    </row>
    <row r="932" spans="1:9" ht="43.5" x14ac:dyDescent="0.35">
      <c r="A932">
        <v>6</v>
      </c>
      <c r="B932">
        <v>154</v>
      </c>
      <c r="C932" t="s">
        <v>1354</v>
      </c>
      <c r="D932" s="64">
        <f>VLOOKUP(C932,'CHAS - Cook Co'!$C$1:$J$2762,2,FALSE) - VLOOKUP(C932,'CHAS - Chicago'!$C$1:$J$2762,2,FALSE)</f>
        <v>3300</v>
      </c>
      <c r="E932" t="s">
        <v>1192</v>
      </c>
      <c r="F932" s="71" t="s">
        <v>508</v>
      </c>
      <c r="G932" s="71" t="s">
        <v>1252</v>
      </c>
      <c r="H932" s="71" t="s">
        <v>1211</v>
      </c>
      <c r="I932" s="71" t="s">
        <v>1082</v>
      </c>
    </row>
    <row r="933" spans="1:9" ht="58" x14ac:dyDescent="0.35">
      <c r="A933">
        <v>6</v>
      </c>
      <c r="B933">
        <v>155</v>
      </c>
      <c r="C933" t="s">
        <v>1355</v>
      </c>
      <c r="D933" s="64">
        <f>VLOOKUP(C933,'CHAS - Cook Co'!$C$1:$J$2762,2,FALSE) - VLOOKUP(C933,'CHAS - Chicago'!$C$1:$J$2762,2,FALSE)</f>
        <v>0</v>
      </c>
      <c r="E933" t="s">
        <v>1192</v>
      </c>
      <c r="F933" s="71" t="s">
        <v>508</v>
      </c>
      <c r="G933" s="71" t="s">
        <v>1252</v>
      </c>
      <c r="H933" s="71" t="s">
        <v>1211</v>
      </c>
      <c r="I933" s="71" t="s">
        <v>1013</v>
      </c>
    </row>
    <row r="934" spans="1:9" ht="43.5" x14ac:dyDescent="0.35">
      <c r="A934">
        <v>6</v>
      </c>
      <c r="B934">
        <v>156</v>
      </c>
      <c r="C934" t="s">
        <v>1356</v>
      </c>
      <c r="D934" s="64">
        <f>VLOOKUP(C934,'CHAS - Cook Co'!$C$1:$J$2762,2,FALSE) - VLOOKUP(C934,'CHAS - Chicago'!$C$1:$J$2762,2,FALSE)</f>
        <v>210330</v>
      </c>
      <c r="E934" t="s">
        <v>1192</v>
      </c>
      <c r="F934" s="71" t="s">
        <v>508</v>
      </c>
      <c r="G934" s="71" t="s">
        <v>1270</v>
      </c>
      <c r="H934" s="71" t="s">
        <v>363</v>
      </c>
      <c r="I934" s="71" t="s">
        <v>362</v>
      </c>
    </row>
    <row r="935" spans="1:9" ht="43.5" x14ac:dyDescent="0.35">
      <c r="A935">
        <v>6</v>
      </c>
      <c r="B935">
        <v>157</v>
      </c>
      <c r="C935" t="s">
        <v>1357</v>
      </c>
      <c r="D935" s="64">
        <f>VLOOKUP(C935,'CHAS - Cook Co'!$C$1:$J$2762,2,FALSE) - VLOOKUP(C935,'CHAS - Chicago'!$C$1:$J$2762,2,FALSE)</f>
        <v>50430</v>
      </c>
      <c r="E935" t="s">
        <v>1192</v>
      </c>
      <c r="F935" s="71" t="s">
        <v>508</v>
      </c>
      <c r="G935" s="71" t="s">
        <v>1270</v>
      </c>
      <c r="H935" s="71" t="s">
        <v>1196</v>
      </c>
      <c r="I935" s="71" t="s">
        <v>362</v>
      </c>
    </row>
    <row r="936" spans="1:9" ht="43.5" x14ac:dyDescent="0.35">
      <c r="A936">
        <v>6</v>
      </c>
      <c r="B936">
        <v>158</v>
      </c>
      <c r="C936" t="s">
        <v>1358</v>
      </c>
      <c r="D936" s="64">
        <f>VLOOKUP(C936,'CHAS - Cook Co'!$C$1:$J$2762,2,FALSE) - VLOOKUP(C936,'CHAS - Chicago'!$C$1:$J$2762,2,FALSE)</f>
        <v>39460</v>
      </c>
      <c r="E936" t="s">
        <v>1192</v>
      </c>
      <c r="F936" s="71" t="s">
        <v>508</v>
      </c>
      <c r="G936" s="71" t="s">
        <v>1270</v>
      </c>
      <c r="H936" s="71" t="s">
        <v>1196</v>
      </c>
      <c r="I936" s="71" t="s">
        <v>1057</v>
      </c>
    </row>
    <row r="937" spans="1:9" ht="43.5" x14ac:dyDescent="0.35">
      <c r="A937">
        <v>6</v>
      </c>
      <c r="B937">
        <v>159</v>
      </c>
      <c r="C937" t="s">
        <v>1359</v>
      </c>
      <c r="D937" s="64">
        <f>VLOOKUP(C937,'CHAS - Cook Co'!$C$1:$J$2762,2,FALSE) - VLOOKUP(C937,'CHAS - Chicago'!$C$1:$J$2762,2,FALSE)</f>
        <v>3760</v>
      </c>
      <c r="E937" t="s">
        <v>1192</v>
      </c>
      <c r="F937" s="71" t="s">
        <v>508</v>
      </c>
      <c r="G937" s="71" t="s">
        <v>1270</v>
      </c>
      <c r="H937" s="71" t="s">
        <v>1196</v>
      </c>
      <c r="I937" s="71" t="s">
        <v>1082</v>
      </c>
    </row>
    <row r="938" spans="1:9" ht="58" x14ac:dyDescent="0.35">
      <c r="A938">
        <v>6</v>
      </c>
      <c r="B938">
        <v>160</v>
      </c>
      <c r="C938" t="s">
        <v>1360</v>
      </c>
      <c r="D938" s="64">
        <f>VLOOKUP(C938,'CHAS - Cook Co'!$C$1:$J$2762,2,FALSE) - VLOOKUP(C938,'CHAS - Chicago'!$C$1:$J$2762,2,FALSE)</f>
        <v>7205</v>
      </c>
      <c r="E938" t="s">
        <v>1192</v>
      </c>
      <c r="F938" s="71" t="s">
        <v>508</v>
      </c>
      <c r="G938" s="71" t="s">
        <v>1270</v>
      </c>
      <c r="H938" s="71" t="s">
        <v>1196</v>
      </c>
      <c r="I938" s="71" t="s">
        <v>1013</v>
      </c>
    </row>
    <row r="939" spans="1:9" ht="43.5" x14ac:dyDescent="0.35">
      <c r="A939">
        <v>6</v>
      </c>
      <c r="B939">
        <v>161</v>
      </c>
      <c r="C939" t="s">
        <v>1361</v>
      </c>
      <c r="D939" s="64">
        <f>VLOOKUP(C939,'CHAS - Cook Co'!$C$1:$J$2762,2,FALSE) - VLOOKUP(C939,'CHAS - Chicago'!$C$1:$J$2762,2,FALSE)</f>
        <v>36680</v>
      </c>
      <c r="E939" t="s">
        <v>1192</v>
      </c>
      <c r="F939" s="71" t="s">
        <v>508</v>
      </c>
      <c r="G939" s="71" t="s">
        <v>1270</v>
      </c>
      <c r="H939" s="71" t="s">
        <v>1201</v>
      </c>
      <c r="I939" s="71" t="s">
        <v>362</v>
      </c>
    </row>
    <row r="940" spans="1:9" ht="43.5" x14ac:dyDescent="0.35">
      <c r="A940">
        <v>6</v>
      </c>
      <c r="B940">
        <v>162</v>
      </c>
      <c r="C940" t="s">
        <v>1362</v>
      </c>
      <c r="D940" s="64">
        <f>VLOOKUP(C940,'CHAS - Cook Co'!$C$1:$J$2762,2,FALSE) - VLOOKUP(C940,'CHAS - Chicago'!$C$1:$J$2762,2,FALSE)</f>
        <v>31480</v>
      </c>
      <c r="E940" t="s">
        <v>1192</v>
      </c>
      <c r="F940" s="71" t="s">
        <v>508</v>
      </c>
      <c r="G940" s="71" t="s">
        <v>1270</v>
      </c>
      <c r="H940" s="71" t="s">
        <v>1201</v>
      </c>
      <c r="I940" s="71" t="s">
        <v>1057</v>
      </c>
    </row>
    <row r="941" spans="1:9" ht="43.5" x14ac:dyDescent="0.35">
      <c r="A941">
        <v>6</v>
      </c>
      <c r="B941">
        <v>163</v>
      </c>
      <c r="C941" t="s">
        <v>1363</v>
      </c>
      <c r="D941" s="64">
        <f>VLOOKUP(C941,'CHAS - Cook Co'!$C$1:$J$2762,2,FALSE) - VLOOKUP(C941,'CHAS - Chicago'!$C$1:$J$2762,2,FALSE)</f>
        <v>5200</v>
      </c>
      <c r="E941" t="s">
        <v>1192</v>
      </c>
      <c r="F941" s="71" t="s">
        <v>508</v>
      </c>
      <c r="G941" s="71" t="s">
        <v>1270</v>
      </c>
      <c r="H941" s="71" t="s">
        <v>1201</v>
      </c>
      <c r="I941" s="71" t="s">
        <v>1082</v>
      </c>
    </row>
    <row r="942" spans="1:9" ht="58" x14ac:dyDescent="0.35">
      <c r="A942">
        <v>6</v>
      </c>
      <c r="B942">
        <v>164</v>
      </c>
      <c r="C942" t="s">
        <v>1364</v>
      </c>
      <c r="D942" s="64">
        <f>VLOOKUP(C942,'CHAS - Cook Co'!$C$1:$J$2762,2,FALSE) - VLOOKUP(C942,'CHAS - Chicago'!$C$1:$J$2762,2,FALSE)</f>
        <v>0</v>
      </c>
      <c r="E942" t="s">
        <v>1192</v>
      </c>
      <c r="F942" s="71" t="s">
        <v>508</v>
      </c>
      <c r="G942" s="71" t="s">
        <v>1270</v>
      </c>
      <c r="H942" s="71" t="s">
        <v>1201</v>
      </c>
      <c r="I942" s="71" t="s">
        <v>1013</v>
      </c>
    </row>
    <row r="943" spans="1:9" ht="43.5" x14ac:dyDescent="0.35">
      <c r="A943">
        <v>6</v>
      </c>
      <c r="B943">
        <v>165</v>
      </c>
      <c r="C943" t="s">
        <v>1365</v>
      </c>
      <c r="D943" s="64">
        <f>VLOOKUP(C943,'CHAS - Cook Co'!$C$1:$J$2762,2,FALSE) - VLOOKUP(C943,'CHAS - Chicago'!$C$1:$J$2762,2,FALSE)</f>
        <v>44650</v>
      </c>
      <c r="E943" t="s">
        <v>1192</v>
      </c>
      <c r="F943" s="71" t="s">
        <v>508</v>
      </c>
      <c r="G943" s="71" t="s">
        <v>1270</v>
      </c>
      <c r="H943" s="71" t="s">
        <v>1206</v>
      </c>
      <c r="I943" s="71" t="s">
        <v>362</v>
      </c>
    </row>
    <row r="944" spans="1:9" ht="43.5" x14ac:dyDescent="0.35">
      <c r="A944">
        <v>6</v>
      </c>
      <c r="B944">
        <v>166</v>
      </c>
      <c r="C944" t="s">
        <v>1366</v>
      </c>
      <c r="D944" s="64">
        <f>VLOOKUP(C944,'CHAS - Cook Co'!$C$1:$J$2762,2,FALSE) - VLOOKUP(C944,'CHAS - Chicago'!$C$1:$J$2762,2,FALSE)</f>
        <v>18335</v>
      </c>
      <c r="E944" t="s">
        <v>1192</v>
      </c>
      <c r="F944" s="71" t="s">
        <v>508</v>
      </c>
      <c r="G944" s="71" t="s">
        <v>1270</v>
      </c>
      <c r="H944" s="71" t="s">
        <v>1206</v>
      </c>
      <c r="I944" s="71" t="s">
        <v>1057</v>
      </c>
    </row>
    <row r="945" spans="1:9" ht="43.5" x14ac:dyDescent="0.35">
      <c r="A945">
        <v>6</v>
      </c>
      <c r="B945">
        <v>167</v>
      </c>
      <c r="C945" t="s">
        <v>1367</v>
      </c>
      <c r="D945" s="64">
        <f>VLOOKUP(C945,'CHAS - Cook Co'!$C$1:$J$2762,2,FALSE) - VLOOKUP(C945,'CHAS - Chicago'!$C$1:$J$2762,2,FALSE)</f>
        <v>26310</v>
      </c>
      <c r="E945" t="s">
        <v>1192</v>
      </c>
      <c r="F945" s="71" t="s">
        <v>508</v>
      </c>
      <c r="G945" s="71" t="s">
        <v>1270</v>
      </c>
      <c r="H945" s="71" t="s">
        <v>1206</v>
      </c>
      <c r="I945" s="71" t="s">
        <v>1082</v>
      </c>
    </row>
    <row r="946" spans="1:9" ht="58" x14ac:dyDescent="0.35">
      <c r="A946">
        <v>6</v>
      </c>
      <c r="B946">
        <v>168</v>
      </c>
      <c r="C946" t="s">
        <v>1368</v>
      </c>
      <c r="D946" s="64">
        <f>VLOOKUP(C946,'CHAS - Cook Co'!$C$1:$J$2762,2,FALSE) - VLOOKUP(C946,'CHAS - Chicago'!$C$1:$J$2762,2,FALSE)</f>
        <v>0</v>
      </c>
      <c r="E946" t="s">
        <v>1192</v>
      </c>
      <c r="F946" s="71" t="s">
        <v>508</v>
      </c>
      <c r="G946" s="71" t="s">
        <v>1270</v>
      </c>
      <c r="H946" s="71" t="s">
        <v>1206</v>
      </c>
      <c r="I946" s="71" t="s">
        <v>1013</v>
      </c>
    </row>
    <row r="947" spans="1:9" ht="43.5" x14ac:dyDescent="0.35">
      <c r="A947">
        <v>6</v>
      </c>
      <c r="B947">
        <v>169</v>
      </c>
      <c r="C947" t="s">
        <v>1369</v>
      </c>
      <c r="D947" s="64">
        <f>VLOOKUP(C947,'CHAS - Cook Co'!$C$1:$J$2762,2,FALSE) - VLOOKUP(C947,'CHAS - Chicago'!$C$1:$J$2762,2,FALSE)</f>
        <v>78570</v>
      </c>
      <c r="E947" t="s">
        <v>1192</v>
      </c>
      <c r="F947" s="71" t="s">
        <v>508</v>
      </c>
      <c r="G947" s="71" t="s">
        <v>1270</v>
      </c>
      <c r="H947" s="71" t="s">
        <v>1211</v>
      </c>
      <c r="I947" s="71" t="s">
        <v>362</v>
      </c>
    </row>
    <row r="948" spans="1:9" ht="43.5" x14ac:dyDescent="0.35">
      <c r="A948">
        <v>6</v>
      </c>
      <c r="B948">
        <v>170</v>
      </c>
      <c r="C948" t="s">
        <v>1370</v>
      </c>
      <c r="D948" s="64">
        <f>VLOOKUP(C948,'CHAS - Cook Co'!$C$1:$J$2762,2,FALSE) - VLOOKUP(C948,'CHAS - Chicago'!$C$1:$J$2762,2,FALSE)</f>
        <v>7465</v>
      </c>
      <c r="E948" t="s">
        <v>1192</v>
      </c>
      <c r="F948" s="71" t="s">
        <v>508</v>
      </c>
      <c r="G948" s="71" t="s">
        <v>1270</v>
      </c>
      <c r="H948" s="71" t="s">
        <v>1211</v>
      </c>
      <c r="I948" s="71" t="s">
        <v>1057</v>
      </c>
    </row>
    <row r="949" spans="1:9" ht="43.5" x14ac:dyDescent="0.35">
      <c r="A949">
        <v>6</v>
      </c>
      <c r="B949">
        <v>171</v>
      </c>
      <c r="C949" t="s">
        <v>1371</v>
      </c>
      <c r="D949" s="64">
        <f>VLOOKUP(C949,'CHAS - Cook Co'!$C$1:$J$2762,2,FALSE) - VLOOKUP(C949,'CHAS - Chicago'!$C$1:$J$2762,2,FALSE)</f>
        <v>71110</v>
      </c>
      <c r="E949" t="s">
        <v>1192</v>
      </c>
      <c r="F949" s="71" t="s">
        <v>508</v>
      </c>
      <c r="G949" s="71" t="s">
        <v>1270</v>
      </c>
      <c r="H949" s="71" t="s">
        <v>1211</v>
      </c>
      <c r="I949" s="71" t="s">
        <v>1082</v>
      </c>
    </row>
    <row r="950" spans="1:9" ht="58" x14ac:dyDescent="0.35">
      <c r="A950">
        <v>6</v>
      </c>
      <c r="B950">
        <v>172</v>
      </c>
      <c r="C950" t="s">
        <v>1372</v>
      </c>
      <c r="D950" s="64">
        <f>VLOOKUP(C950,'CHAS - Cook Co'!$C$1:$J$2762,2,FALSE) - VLOOKUP(C950,'CHAS - Chicago'!$C$1:$J$2762,2,FALSE)</f>
        <v>0</v>
      </c>
      <c r="E950" t="s">
        <v>1192</v>
      </c>
      <c r="F950" s="71" t="s">
        <v>508</v>
      </c>
      <c r="G950" s="71" t="s">
        <v>1270</v>
      </c>
      <c r="H950" s="71" t="s">
        <v>1211</v>
      </c>
      <c r="I950" s="71" t="s">
        <v>1013</v>
      </c>
    </row>
    <row r="951" spans="1:9" ht="29" x14ac:dyDescent="0.35">
      <c r="A951">
        <v>7</v>
      </c>
      <c r="B951">
        <v>1</v>
      </c>
      <c r="C951" t="s">
        <v>1373</v>
      </c>
      <c r="D951" s="64">
        <f>VLOOKUP(C951,'CHAS - Cook Co'!$C$1:$J$2762,2,FALSE) - VLOOKUP(C951,'CHAS - Chicago'!$C$1:$J$2762,2,FALSE)</f>
        <v>909025</v>
      </c>
      <c r="E951" t="s">
        <v>26</v>
      </c>
      <c r="F951" s="71" t="s">
        <v>361</v>
      </c>
      <c r="G951" s="71" t="s">
        <v>363</v>
      </c>
      <c r="H951" s="71" t="s">
        <v>982</v>
      </c>
      <c r="I951" s="71" t="s">
        <v>1374</v>
      </c>
    </row>
    <row r="952" spans="1:9" x14ac:dyDescent="0.35">
      <c r="A952">
        <v>7</v>
      </c>
      <c r="B952">
        <v>2</v>
      </c>
      <c r="C952" t="s">
        <v>1375</v>
      </c>
      <c r="D952" s="64">
        <f>VLOOKUP(C952,'CHAS - Cook Co'!$C$1:$J$2762,2,FALSE) - VLOOKUP(C952,'CHAS - Chicago'!$C$1:$J$2762,2,FALSE)</f>
        <v>645280</v>
      </c>
      <c r="E952" t="s">
        <v>366</v>
      </c>
      <c r="F952" s="71" t="s">
        <v>367</v>
      </c>
      <c r="G952" s="71" t="s">
        <v>363</v>
      </c>
      <c r="H952" s="71" t="s">
        <v>982</v>
      </c>
      <c r="I952" s="71" t="s">
        <v>1374</v>
      </c>
    </row>
    <row r="953" spans="1:9" ht="43.5" x14ac:dyDescent="0.35">
      <c r="A953">
        <v>7</v>
      </c>
      <c r="B953">
        <v>3</v>
      </c>
      <c r="C953" t="s">
        <v>1376</v>
      </c>
      <c r="D953" s="64">
        <f>VLOOKUP(C953,'CHAS - Cook Co'!$C$1:$J$2762,2,FALSE) - VLOOKUP(C953,'CHAS - Chicago'!$C$1:$J$2762,2,FALSE)</f>
        <v>55240</v>
      </c>
      <c r="E953" t="s">
        <v>366</v>
      </c>
      <c r="F953" s="71" t="s">
        <v>367</v>
      </c>
      <c r="G953" s="71" t="s">
        <v>1377</v>
      </c>
      <c r="H953" s="71" t="s">
        <v>982</v>
      </c>
      <c r="I953" s="71" t="s">
        <v>1374</v>
      </c>
    </row>
    <row r="954" spans="1:9" ht="43.5" x14ac:dyDescent="0.35">
      <c r="A954">
        <v>7</v>
      </c>
      <c r="B954">
        <v>4</v>
      </c>
      <c r="C954" t="s">
        <v>1378</v>
      </c>
      <c r="D954" s="64">
        <f>VLOOKUP(C954,'CHAS - Cook Co'!$C$1:$J$2762,2,FALSE) - VLOOKUP(C954,'CHAS - Chicago'!$C$1:$J$2762,2,FALSE)</f>
        <v>7095</v>
      </c>
      <c r="E954" t="s">
        <v>366</v>
      </c>
      <c r="F954" s="71" t="s">
        <v>367</v>
      </c>
      <c r="G954" s="71" t="s">
        <v>1377</v>
      </c>
      <c r="H954" s="71" t="s">
        <v>1379</v>
      </c>
      <c r="I954" s="71" t="s">
        <v>1374</v>
      </c>
    </row>
    <row r="955" spans="1:9" ht="43.5" x14ac:dyDescent="0.35">
      <c r="A955">
        <v>7</v>
      </c>
      <c r="B955">
        <v>5</v>
      </c>
      <c r="C955" t="s">
        <v>1380</v>
      </c>
      <c r="D955" s="64">
        <f>VLOOKUP(C955,'CHAS - Cook Co'!$C$1:$J$2762,2,FALSE) - VLOOKUP(C955,'CHAS - Chicago'!$C$1:$J$2762,2,FALSE)</f>
        <v>615</v>
      </c>
      <c r="E955" t="s">
        <v>373</v>
      </c>
      <c r="F955" s="71" t="s">
        <v>367</v>
      </c>
      <c r="G955" s="71" t="s">
        <v>1377</v>
      </c>
      <c r="H955" s="71" t="s">
        <v>1379</v>
      </c>
      <c r="I955" s="71" t="s">
        <v>1381</v>
      </c>
    </row>
    <row r="956" spans="1:9" ht="43.5" x14ac:dyDescent="0.35">
      <c r="A956">
        <v>7</v>
      </c>
      <c r="B956">
        <v>6</v>
      </c>
      <c r="C956" t="s">
        <v>1382</v>
      </c>
      <c r="D956" s="64">
        <f>VLOOKUP(C956,'CHAS - Cook Co'!$C$1:$J$2762,2,FALSE) - VLOOKUP(C956,'CHAS - Chicago'!$C$1:$J$2762,2,FALSE)</f>
        <v>1265</v>
      </c>
      <c r="E956" t="s">
        <v>373</v>
      </c>
      <c r="F956" s="71" t="s">
        <v>367</v>
      </c>
      <c r="G956" s="71" t="s">
        <v>1377</v>
      </c>
      <c r="H956" s="71" t="s">
        <v>1379</v>
      </c>
      <c r="I956" s="71" t="s">
        <v>1383</v>
      </c>
    </row>
    <row r="957" spans="1:9" ht="43.5" x14ac:dyDescent="0.35">
      <c r="A957">
        <v>7</v>
      </c>
      <c r="B957">
        <v>7</v>
      </c>
      <c r="C957" t="s">
        <v>1384</v>
      </c>
      <c r="D957" s="64">
        <f>VLOOKUP(C957,'CHAS - Cook Co'!$C$1:$J$2762,2,FALSE) - VLOOKUP(C957,'CHAS - Chicago'!$C$1:$J$2762,2,FALSE)</f>
        <v>4815</v>
      </c>
      <c r="E957" t="s">
        <v>373</v>
      </c>
      <c r="F957" s="71" t="s">
        <v>367</v>
      </c>
      <c r="G957" s="71" t="s">
        <v>1377</v>
      </c>
      <c r="H957" s="71" t="s">
        <v>1379</v>
      </c>
      <c r="I957" s="71" t="s">
        <v>1385</v>
      </c>
    </row>
    <row r="958" spans="1:9" ht="43.5" x14ac:dyDescent="0.35">
      <c r="A958">
        <v>7</v>
      </c>
      <c r="B958">
        <v>8</v>
      </c>
      <c r="C958" t="s">
        <v>1386</v>
      </c>
      <c r="D958" s="64">
        <f>VLOOKUP(C958,'CHAS - Cook Co'!$C$1:$J$2762,2,FALSE) - VLOOKUP(C958,'CHAS - Chicago'!$C$1:$J$2762,2,FALSE)</f>
        <v>400</v>
      </c>
      <c r="E958" t="s">
        <v>373</v>
      </c>
      <c r="F958" s="71" t="s">
        <v>367</v>
      </c>
      <c r="G958" s="71" t="s">
        <v>1377</v>
      </c>
      <c r="H958" s="71" t="s">
        <v>1379</v>
      </c>
      <c r="I958" s="71" t="s">
        <v>1387</v>
      </c>
    </row>
    <row r="959" spans="1:9" ht="58" x14ac:dyDescent="0.35">
      <c r="A959">
        <v>7</v>
      </c>
      <c r="B959">
        <v>9</v>
      </c>
      <c r="C959" t="s">
        <v>1388</v>
      </c>
      <c r="D959" s="64">
        <f>VLOOKUP(C959,'CHAS - Cook Co'!$C$1:$J$2762,2,FALSE) - VLOOKUP(C959,'CHAS - Chicago'!$C$1:$J$2762,2,FALSE)</f>
        <v>12290</v>
      </c>
      <c r="E959" t="s">
        <v>366</v>
      </c>
      <c r="F959" s="71" t="s">
        <v>367</v>
      </c>
      <c r="G959" s="71" t="s">
        <v>1377</v>
      </c>
      <c r="H959" s="71" t="s">
        <v>1389</v>
      </c>
      <c r="I959" s="71" t="s">
        <v>1374</v>
      </c>
    </row>
    <row r="960" spans="1:9" ht="58" x14ac:dyDescent="0.35">
      <c r="A960">
        <v>7</v>
      </c>
      <c r="B960">
        <v>10</v>
      </c>
      <c r="C960" t="s">
        <v>1390</v>
      </c>
      <c r="D960" s="64">
        <f>VLOOKUP(C960,'CHAS - Cook Co'!$C$1:$J$2762,2,FALSE) - VLOOKUP(C960,'CHAS - Chicago'!$C$1:$J$2762,2,FALSE)</f>
        <v>595</v>
      </c>
      <c r="E960" t="s">
        <v>373</v>
      </c>
      <c r="F960" s="71" t="s">
        <v>367</v>
      </c>
      <c r="G960" s="71" t="s">
        <v>1377</v>
      </c>
      <c r="H960" s="71" t="s">
        <v>1389</v>
      </c>
      <c r="I960" s="71" t="s">
        <v>1381</v>
      </c>
    </row>
    <row r="961" spans="1:9" ht="58" x14ac:dyDescent="0.35">
      <c r="A961">
        <v>7</v>
      </c>
      <c r="B961">
        <v>11</v>
      </c>
      <c r="C961" t="s">
        <v>1391</v>
      </c>
      <c r="D961" s="64">
        <f>VLOOKUP(C961,'CHAS - Cook Co'!$C$1:$J$2762,2,FALSE) - VLOOKUP(C961,'CHAS - Chicago'!$C$1:$J$2762,2,FALSE)</f>
        <v>1315</v>
      </c>
      <c r="E961" t="s">
        <v>373</v>
      </c>
      <c r="F961" s="71" t="s">
        <v>367</v>
      </c>
      <c r="G961" s="71" t="s">
        <v>1377</v>
      </c>
      <c r="H961" s="71" t="s">
        <v>1389</v>
      </c>
      <c r="I961" s="71" t="s">
        <v>1383</v>
      </c>
    </row>
    <row r="962" spans="1:9" ht="58" x14ac:dyDescent="0.35">
      <c r="A962">
        <v>7</v>
      </c>
      <c r="B962">
        <v>12</v>
      </c>
      <c r="C962" t="s">
        <v>1392</v>
      </c>
      <c r="D962" s="64">
        <f>VLOOKUP(C962,'CHAS - Cook Co'!$C$1:$J$2762,2,FALSE) - VLOOKUP(C962,'CHAS - Chicago'!$C$1:$J$2762,2,FALSE)</f>
        <v>9390</v>
      </c>
      <c r="E962" t="s">
        <v>373</v>
      </c>
      <c r="F962" s="71" t="s">
        <v>367</v>
      </c>
      <c r="G962" s="71" t="s">
        <v>1377</v>
      </c>
      <c r="H962" s="71" t="s">
        <v>1389</v>
      </c>
      <c r="I962" s="71" t="s">
        <v>1385</v>
      </c>
    </row>
    <row r="963" spans="1:9" ht="58" x14ac:dyDescent="0.35">
      <c r="A963">
        <v>7</v>
      </c>
      <c r="B963">
        <v>13</v>
      </c>
      <c r="C963" t="s">
        <v>1393</v>
      </c>
      <c r="D963" s="64">
        <f>VLOOKUP(C963,'CHAS - Cook Co'!$C$1:$J$2762,2,FALSE) - VLOOKUP(C963,'CHAS - Chicago'!$C$1:$J$2762,2,FALSE)</f>
        <v>995</v>
      </c>
      <c r="E963" t="s">
        <v>373</v>
      </c>
      <c r="F963" s="71" t="s">
        <v>367</v>
      </c>
      <c r="G963" s="71" t="s">
        <v>1377</v>
      </c>
      <c r="H963" s="71" t="s">
        <v>1389</v>
      </c>
      <c r="I963" s="71" t="s">
        <v>1387</v>
      </c>
    </row>
    <row r="964" spans="1:9" ht="43.5" x14ac:dyDescent="0.35">
      <c r="A964">
        <v>7</v>
      </c>
      <c r="B964">
        <v>14</v>
      </c>
      <c r="C964" t="s">
        <v>1394</v>
      </c>
      <c r="D964" s="64">
        <f>VLOOKUP(C964,'CHAS - Cook Co'!$C$1:$J$2762,2,FALSE) - VLOOKUP(C964,'CHAS - Chicago'!$C$1:$J$2762,2,FALSE)</f>
        <v>3540</v>
      </c>
      <c r="E964" t="s">
        <v>366</v>
      </c>
      <c r="F964" s="71" t="s">
        <v>367</v>
      </c>
      <c r="G964" s="71" t="s">
        <v>1377</v>
      </c>
      <c r="H964" s="71" t="s">
        <v>1395</v>
      </c>
      <c r="I964" s="71" t="s">
        <v>1374</v>
      </c>
    </row>
    <row r="965" spans="1:9" ht="43.5" x14ac:dyDescent="0.35">
      <c r="A965">
        <v>7</v>
      </c>
      <c r="B965">
        <v>15</v>
      </c>
      <c r="C965" t="s">
        <v>1396</v>
      </c>
      <c r="D965" s="64">
        <f>VLOOKUP(C965,'CHAS - Cook Co'!$C$1:$J$2762,2,FALSE) - VLOOKUP(C965,'CHAS - Chicago'!$C$1:$J$2762,2,FALSE)</f>
        <v>240</v>
      </c>
      <c r="E965" t="s">
        <v>373</v>
      </c>
      <c r="F965" s="71" t="s">
        <v>367</v>
      </c>
      <c r="G965" s="71" t="s">
        <v>1377</v>
      </c>
      <c r="H965" s="71" t="s">
        <v>1395</v>
      </c>
      <c r="I965" s="71" t="s">
        <v>1381</v>
      </c>
    </row>
    <row r="966" spans="1:9" ht="43.5" x14ac:dyDescent="0.35">
      <c r="A966">
        <v>7</v>
      </c>
      <c r="B966">
        <v>16</v>
      </c>
      <c r="C966" t="s">
        <v>1397</v>
      </c>
      <c r="D966" s="64">
        <f>VLOOKUP(C966,'CHAS - Cook Co'!$C$1:$J$2762,2,FALSE) - VLOOKUP(C966,'CHAS - Chicago'!$C$1:$J$2762,2,FALSE)</f>
        <v>570</v>
      </c>
      <c r="E966" t="s">
        <v>373</v>
      </c>
      <c r="F966" s="71" t="s">
        <v>367</v>
      </c>
      <c r="G966" s="71" t="s">
        <v>1377</v>
      </c>
      <c r="H966" s="71" t="s">
        <v>1395</v>
      </c>
      <c r="I966" s="71" t="s">
        <v>1383</v>
      </c>
    </row>
    <row r="967" spans="1:9" ht="43.5" x14ac:dyDescent="0.35">
      <c r="A967">
        <v>7</v>
      </c>
      <c r="B967">
        <v>17</v>
      </c>
      <c r="C967" t="s">
        <v>1398</v>
      </c>
      <c r="D967" s="64">
        <f>VLOOKUP(C967,'CHAS - Cook Co'!$C$1:$J$2762,2,FALSE) - VLOOKUP(C967,'CHAS - Chicago'!$C$1:$J$2762,2,FALSE)</f>
        <v>2630</v>
      </c>
      <c r="E967" t="s">
        <v>373</v>
      </c>
      <c r="F967" s="71" t="s">
        <v>367</v>
      </c>
      <c r="G967" s="71" t="s">
        <v>1377</v>
      </c>
      <c r="H967" s="71" t="s">
        <v>1395</v>
      </c>
      <c r="I967" s="71" t="s">
        <v>1385</v>
      </c>
    </row>
    <row r="968" spans="1:9" ht="43.5" x14ac:dyDescent="0.35">
      <c r="A968">
        <v>7</v>
      </c>
      <c r="B968">
        <v>18</v>
      </c>
      <c r="C968" t="s">
        <v>1399</v>
      </c>
      <c r="D968" s="64">
        <f>VLOOKUP(C968,'CHAS - Cook Co'!$C$1:$J$2762,2,FALSE) - VLOOKUP(C968,'CHAS - Chicago'!$C$1:$J$2762,2,FALSE)</f>
        <v>100</v>
      </c>
      <c r="E968" t="s">
        <v>373</v>
      </c>
      <c r="F968" s="71" t="s">
        <v>367</v>
      </c>
      <c r="G968" s="71" t="s">
        <v>1377</v>
      </c>
      <c r="H968" s="71" t="s">
        <v>1395</v>
      </c>
      <c r="I968" s="71" t="s">
        <v>1387</v>
      </c>
    </row>
    <row r="969" spans="1:9" ht="43.5" x14ac:dyDescent="0.35">
      <c r="A969">
        <v>7</v>
      </c>
      <c r="B969">
        <v>19</v>
      </c>
      <c r="C969" t="s">
        <v>1400</v>
      </c>
      <c r="D969" s="64">
        <f>VLOOKUP(C969,'CHAS - Cook Co'!$C$1:$J$2762,2,FALSE) - VLOOKUP(C969,'CHAS - Chicago'!$C$1:$J$2762,2,FALSE)</f>
        <v>21630</v>
      </c>
      <c r="E969" t="s">
        <v>366</v>
      </c>
      <c r="F969" s="71" t="s">
        <v>367</v>
      </c>
      <c r="G969" s="71" t="s">
        <v>1377</v>
      </c>
      <c r="H969" s="71" t="s">
        <v>1401</v>
      </c>
      <c r="I969" s="71" t="s">
        <v>1374</v>
      </c>
    </row>
    <row r="970" spans="1:9" ht="43.5" x14ac:dyDescent="0.35">
      <c r="A970">
        <v>7</v>
      </c>
      <c r="B970">
        <v>20</v>
      </c>
      <c r="C970" t="s">
        <v>1402</v>
      </c>
      <c r="D970" s="64">
        <f>VLOOKUP(C970,'CHAS - Cook Co'!$C$1:$J$2762,2,FALSE) - VLOOKUP(C970,'CHAS - Chicago'!$C$1:$J$2762,2,FALSE)</f>
        <v>2585</v>
      </c>
      <c r="E970" t="s">
        <v>373</v>
      </c>
      <c r="F970" s="71" t="s">
        <v>367</v>
      </c>
      <c r="G970" s="71" t="s">
        <v>1377</v>
      </c>
      <c r="H970" s="71" t="s">
        <v>1401</v>
      </c>
      <c r="I970" s="71" t="s">
        <v>1381</v>
      </c>
    </row>
    <row r="971" spans="1:9" ht="43.5" x14ac:dyDescent="0.35">
      <c r="A971">
        <v>7</v>
      </c>
      <c r="B971">
        <v>21</v>
      </c>
      <c r="C971" t="s">
        <v>1403</v>
      </c>
      <c r="D971" s="64">
        <f>VLOOKUP(C971,'CHAS - Cook Co'!$C$1:$J$2762,2,FALSE) - VLOOKUP(C971,'CHAS - Chicago'!$C$1:$J$2762,2,FALSE)</f>
        <v>3910</v>
      </c>
      <c r="E971" t="s">
        <v>373</v>
      </c>
      <c r="F971" s="71" t="s">
        <v>367</v>
      </c>
      <c r="G971" s="71" t="s">
        <v>1377</v>
      </c>
      <c r="H971" s="71" t="s">
        <v>1401</v>
      </c>
      <c r="I971" s="71" t="s">
        <v>1383</v>
      </c>
    </row>
    <row r="972" spans="1:9" ht="43.5" x14ac:dyDescent="0.35">
      <c r="A972">
        <v>7</v>
      </c>
      <c r="B972">
        <v>22</v>
      </c>
      <c r="C972" t="s">
        <v>1404</v>
      </c>
      <c r="D972" s="64">
        <f>VLOOKUP(C972,'CHAS - Cook Co'!$C$1:$J$2762,2,FALSE) - VLOOKUP(C972,'CHAS - Chicago'!$C$1:$J$2762,2,FALSE)</f>
        <v>13480</v>
      </c>
      <c r="E972" t="s">
        <v>373</v>
      </c>
      <c r="F972" s="71" t="s">
        <v>367</v>
      </c>
      <c r="G972" s="71" t="s">
        <v>1377</v>
      </c>
      <c r="H972" s="71" t="s">
        <v>1401</v>
      </c>
      <c r="I972" s="71" t="s">
        <v>1385</v>
      </c>
    </row>
    <row r="973" spans="1:9" ht="43.5" x14ac:dyDescent="0.35">
      <c r="A973">
        <v>7</v>
      </c>
      <c r="B973">
        <v>23</v>
      </c>
      <c r="C973" t="s">
        <v>1405</v>
      </c>
      <c r="D973" s="64">
        <f>VLOOKUP(C973,'CHAS - Cook Co'!$C$1:$J$2762,2,FALSE) - VLOOKUP(C973,'CHAS - Chicago'!$C$1:$J$2762,2,FALSE)</f>
        <v>1650</v>
      </c>
      <c r="E973" t="s">
        <v>373</v>
      </c>
      <c r="F973" s="71" t="s">
        <v>367</v>
      </c>
      <c r="G973" s="71" t="s">
        <v>1377</v>
      </c>
      <c r="H973" s="71" t="s">
        <v>1401</v>
      </c>
      <c r="I973" s="71" t="s">
        <v>1387</v>
      </c>
    </row>
    <row r="974" spans="1:9" ht="43.5" x14ac:dyDescent="0.35">
      <c r="A974">
        <v>7</v>
      </c>
      <c r="B974">
        <v>24</v>
      </c>
      <c r="C974" t="s">
        <v>1406</v>
      </c>
      <c r="D974" s="64">
        <f>VLOOKUP(C974,'CHAS - Cook Co'!$C$1:$J$2762,2,FALSE) - VLOOKUP(C974,'CHAS - Chicago'!$C$1:$J$2762,2,FALSE)</f>
        <v>10685</v>
      </c>
      <c r="E974" t="s">
        <v>366</v>
      </c>
      <c r="F974" s="71" t="s">
        <v>367</v>
      </c>
      <c r="G974" s="71" t="s">
        <v>1377</v>
      </c>
      <c r="H974" s="71" t="s">
        <v>1407</v>
      </c>
      <c r="I974" s="71" t="s">
        <v>1374</v>
      </c>
    </row>
    <row r="975" spans="1:9" ht="43.5" x14ac:dyDescent="0.35">
      <c r="A975">
        <v>7</v>
      </c>
      <c r="B975">
        <v>25</v>
      </c>
      <c r="C975" t="s">
        <v>1408</v>
      </c>
      <c r="D975" s="64">
        <f>VLOOKUP(C975,'CHAS - Cook Co'!$C$1:$J$2762,2,FALSE) - VLOOKUP(C975,'CHAS - Chicago'!$C$1:$J$2762,2,FALSE)</f>
        <v>235</v>
      </c>
      <c r="E975" t="s">
        <v>373</v>
      </c>
      <c r="F975" s="71" t="s">
        <v>367</v>
      </c>
      <c r="G975" s="71" t="s">
        <v>1377</v>
      </c>
      <c r="H975" s="71" t="s">
        <v>1407</v>
      </c>
      <c r="I975" s="71" t="s">
        <v>1381</v>
      </c>
    </row>
    <row r="976" spans="1:9" ht="43.5" x14ac:dyDescent="0.35">
      <c r="A976">
        <v>7</v>
      </c>
      <c r="B976">
        <v>26</v>
      </c>
      <c r="C976" t="s">
        <v>1409</v>
      </c>
      <c r="D976" s="64">
        <f>VLOOKUP(C976,'CHAS - Cook Co'!$C$1:$J$2762,2,FALSE) - VLOOKUP(C976,'CHAS - Chicago'!$C$1:$J$2762,2,FALSE)</f>
        <v>730</v>
      </c>
      <c r="E976" t="s">
        <v>373</v>
      </c>
      <c r="F976" s="71" t="s">
        <v>367</v>
      </c>
      <c r="G976" s="71" t="s">
        <v>1377</v>
      </c>
      <c r="H976" s="71" t="s">
        <v>1407</v>
      </c>
      <c r="I976" s="71" t="s">
        <v>1383</v>
      </c>
    </row>
    <row r="977" spans="1:9" ht="43.5" x14ac:dyDescent="0.35">
      <c r="A977">
        <v>7</v>
      </c>
      <c r="B977">
        <v>27</v>
      </c>
      <c r="C977" t="s">
        <v>1410</v>
      </c>
      <c r="D977" s="64">
        <f>VLOOKUP(C977,'CHAS - Cook Co'!$C$1:$J$2762,2,FALSE) - VLOOKUP(C977,'CHAS - Chicago'!$C$1:$J$2762,2,FALSE)</f>
        <v>7245</v>
      </c>
      <c r="E977" t="s">
        <v>373</v>
      </c>
      <c r="F977" s="71" t="s">
        <v>367</v>
      </c>
      <c r="G977" s="71" t="s">
        <v>1377</v>
      </c>
      <c r="H977" s="71" t="s">
        <v>1407</v>
      </c>
      <c r="I977" s="71" t="s">
        <v>1385</v>
      </c>
    </row>
    <row r="978" spans="1:9" ht="43.5" x14ac:dyDescent="0.35">
      <c r="A978">
        <v>7</v>
      </c>
      <c r="B978">
        <v>28</v>
      </c>
      <c r="C978" t="s">
        <v>1411</v>
      </c>
      <c r="D978" s="64">
        <f>VLOOKUP(C978,'CHAS - Cook Co'!$C$1:$J$2762,2,FALSE) - VLOOKUP(C978,'CHAS - Chicago'!$C$1:$J$2762,2,FALSE)</f>
        <v>2485</v>
      </c>
      <c r="E978" t="s">
        <v>373</v>
      </c>
      <c r="F978" s="71" t="s">
        <v>367</v>
      </c>
      <c r="G978" s="71" t="s">
        <v>1377</v>
      </c>
      <c r="H978" s="71" t="s">
        <v>1407</v>
      </c>
      <c r="I978" s="71" t="s">
        <v>1387</v>
      </c>
    </row>
    <row r="979" spans="1:9" ht="43.5" x14ac:dyDescent="0.35">
      <c r="A979">
        <v>7</v>
      </c>
      <c r="B979">
        <v>29</v>
      </c>
      <c r="C979" t="s">
        <v>1412</v>
      </c>
      <c r="D979" s="64">
        <f>VLOOKUP(C979,'CHAS - Cook Co'!$C$1:$J$2762,2,FALSE) - VLOOKUP(C979,'CHAS - Chicago'!$C$1:$J$2762,2,FALSE)</f>
        <v>66330</v>
      </c>
      <c r="E979" t="s">
        <v>366</v>
      </c>
      <c r="F979" s="71" t="s">
        <v>367</v>
      </c>
      <c r="G979" s="71" t="s">
        <v>1413</v>
      </c>
      <c r="H979" s="71" t="s">
        <v>982</v>
      </c>
      <c r="I979" s="71" t="s">
        <v>1374</v>
      </c>
    </row>
    <row r="980" spans="1:9" ht="43.5" x14ac:dyDescent="0.35">
      <c r="A980">
        <v>7</v>
      </c>
      <c r="B980">
        <v>30</v>
      </c>
      <c r="C980" t="s">
        <v>1414</v>
      </c>
      <c r="D980" s="64">
        <f>VLOOKUP(C980,'CHAS - Cook Co'!$C$1:$J$2762,2,FALSE) - VLOOKUP(C980,'CHAS - Chicago'!$C$1:$J$2762,2,FALSE)</f>
        <v>13335</v>
      </c>
      <c r="E980" t="s">
        <v>366</v>
      </c>
      <c r="F980" s="71" t="s">
        <v>367</v>
      </c>
      <c r="G980" s="71" t="s">
        <v>1413</v>
      </c>
      <c r="H980" s="71" t="s">
        <v>1379</v>
      </c>
      <c r="I980" s="71" t="s">
        <v>1374</v>
      </c>
    </row>
    <row r="981" spans="1:9" ht="43.5" x14ac:dyDescent="0.35">
      <c r="A981">
        <v>7</v>
      </c>
      <c r="B981">
        <v>31</v>
      </c>
      <c r="C981" t="s">
        <v>1415</v>
      </c>
      <c r="D981" s="64">
        <f>VLOOKUP(C981,'CHAS - Cook Co'!$C$1:$J$2762,2,FALSE) - VLOOKUP(C981,'CHAS - Chicago'!$C$1:$J$2762,2,FALSE)</f>
        <v>4775</v>
      </c>
      <c r="E981" t="s">
        <v>373</v>
      </c>
      <c r="F981" s="71" t="s">
        <v>367</v>
      </c>
      <c r="G981" s="71" t="s">
        <v>1413</v>
      </c>
      <c r="H981" s="71" t="s">
        <v>1379</v>
      </c>
      <c r="I981" s="71" t="s">
        <v>1381</v>
      </c>
    </row>
    <row r="982" spans="1:9" ht="43.5" x14ac:dyDescent="0.35">
      <c r="A982">
        <v>7</v>
      </c>
      <c r="B982">
        <v>32</v>
      </c>
      <c r="C982" t="s">
        <v>1416</v>
      </c>
      <c r="D982" s="64">
        <f>VLOOKUP(C982,'CHAS - Cook Co'!$C$1:$J$2762,2,FALSE) - VLOOKUP(C982,'CHAS - Chicago'!$C$1:$J$2762,2,FALSE)</f>
        <v>4585</v>
      </c>
      <c r="E982" t="s">
        <v>373</v>
      </c>
      <c r="F982" s="71" t="s">
        <v>367</v>
      </c>
      <c r="G982" s="71" t="s">
        <v>1413</v>
      </c>
      <c r="H982" s="71" t="s">
        <v>1379</v>
      </c>
      <c r="I982" s="71" t="s">
        <v>1383</v>
      </c>
    </row>
    <row r="983" spans="1:9" ht="43.5" x14ac:dyDescent="0.35">
      <c r="A983">
        <v>7</v>
      </c>
      <c r="B983">
        <v>33</v>
      </c>
      <c r="C983" t="s">
        <v>1417</v>
      </c>
      <c r="D983" s="64">
        <f>VLOOKUP(C983,'CHAS - Cook Co'!$C$1:$J$2762,2,FALSE) - VLOOKUP(C983,'CHAS - Chicago'!$C$1:$J$2762,2,FALSE)</f>
        <v>3975</v>
      </c>
      <c r="E983" t="s">
        <v>373</v>
      </c>
      <c r="F983" s="71" t="s">
        <v>367</v>
      </c>
      <c r="G983" s="71" t="s">
        <v>1413</v>
      </c>
      <c r="H983" s="71" t="s">
        <v>1379</v>
      </c>
      <c r="I983" s="71" t="s">
        <v>1385</v>
      </c>
    </row>
    <row r="984" spans="1:9" ht="43.5" x14ac:dyDescent="0.35">
      <c r="A984">
        <v>7</v>
      </c>
      <c r="B984">
        <v>34</v>
      </c>
      <c r="C984" t="s">
        <v>1418</v>
      </c>
      <c r="D984" s="64">
        <f>VLOOKUP(C984,'CHAS - Cook Co'!$C$1:$J$2762,2,FALSE) - VLOOKUP(C984,'CHAS - Chicago'!$C$1:$J$2762,2,FALSE)</f>
        <v>0</v>
      </c>
      <c r="E984" t="s">
        <v>373</v>
      </c>
      <c r="F984" s="71" t="s">
        <v>367</v>
      </c>
      <c r="G984" s="71" t="s">
        <v>1413</v>
      </c>
      <c r="H984" s="71" t="s">
        <v>1379</v>
      </c>
      <c r="I984" s="71" t="s">
        <v>1387</v>
      </c>
    </row>
    <row r="985" spans="1:9" ht="58" x14ac:dyDescent="0.35">
      <c r="A985">
        <v>7</v>
      </c>
      <c r="B985">
        <v>35</v>
      </c>
      <c r="C985" t="s">
        <v>1419</v>
      </c>
      <c r="D985" s="64">
        <f>VLOOKUP(C985,'CHAS - Cook Co'!$C$1:$J$2762,2,FALSE) - VLOOKUP(C985,'CHAS - Chicago'!$C$1:$J$2762,2,FALSE)</f>
        <v>16705</v>
      </c>
      <c r="E985" t="s">
        <v>366</v>
      </c>
      <c r="F985" s="71" t="s">
        <v>367</v>
      </c>
      <c r="G985" s="71" t="s">
        <v>1413</v>
      </c>
      <c r="H985" s="71" t="s">
        <v>1389</v>
      </c>
      <c r="I985" s="71" t="s">
        <v>1374</v>
      </c>
    </row>
    <row r="986" spans="1:9" ht="58" x14ac:dyDescent="0.35">
      <c r="A986">
        <v>7</v>
      </c>
      <c r="B986">
        <v>36</v>
      </c>
      <c r="C986" t="s">
        <v>1420</v>
      </c>
      <c r="D986" s="64">
        <f>VLOOKUP(C986,'CHAS - Cook Co'!$C$1:$J$2762,2,FALSE) - VLOOKUP(C986,'CHAS - Chicago'!$C$1:$J$2762,2,FALSE)</f>
        <v>3855</v>
      </c>
      <c r="E986" t="s">
        <v>373</v>
      </c>
      <c r="F986" s="71" t="s">
        <v>367</v>
      </c>
      <c r="G986" s="71" t="s">
        <v>1413</v>
      </c>
      <c r="H986" s="71" t="s">
        <v>1389</v>
      </c>
      <c r="I986" s="71" t="s">
        <v>1381</v>
      </c>
    </row>
    <row r="987" spans="1:9" ht="58" x14ac:dyDescent="0.35">
      <c r="A987">
        <v>7</v>
      </c>
      <c r="B987">
        <v>37</v>
      </c>
      <c r="C987" t="s">
        <v>1421</v>
      </c>
      <c r="D987" s="64">
        <f>VLOOKUP(C987,'CHAS - Cook Co'!$C$1:$J$2762,2,FALSE) - VLOOKUP(C987,'CHAS - Chicago'!$C$1:$J$2762,2,FALSE)</f>
        <v>5060</v>
      </c>
      <c r="E987" t="s">
        <v>373</v>
      </c>
      <c r="F987" s="71" t="s">
        <v>367</v>
      </c>
      <c r="G987" s="71" t="s">
        <v>1413</v>
      </c>
      <c r="H987" s="71" t="s">
        <v>1389</v>
      </c>
      <c r="I987" s="71" t="s">
        <v>1383</v>
      </c>
    </row>
    <row r="988" spans="1:9" ht="58" x14ac:dyDescent="0.35">
      <c r="A988">
        <v>7</v>
      </c>
      <c r="B988">
        <v>38</v>
      </c>
      <c r="C988" t="s">
        <v>1422</v>
      </c>
      <c r="D988" s="64">
        <f>VLOOKUP(C988,'CHAS - Cook Co'!$C$1:$J$2762,2,FALSE) - VLOOKUP(C988,'CHAS - Chicago'!$C$1:$J$2762,2,FALSE)</f>
        <v>7795</v>
      </c>
      <c r="E988" t="s">
        <v>373</v>
      </c>
      <c r="F988" s="71" t="s">
        <v>367</v>
      </c>
      <c r="G988" s="71" t="s">
        <v>1413</v>
      </c>
      <c r="H988" s="71" t="s">
        <v>1389</v>
      </c>
      <c r="I988" s="71" t="s">
        <v>1385</v>
      </c>
    </row>
    <row r="989" spans="1:9" ht="58" x14ac:dyDescent="0.35">
      <c r="A989">
        <v>7</v>
      </c>
      <c r="B989">
        <v>39</v>
      </c>
      <c r="C989" t="s">
        <v>1423</v>
      </c>
      <c r="D989" s="64">
        <f>VLOOKUP(C989,'CHAS - Cook Co'!$C$1:$J$2762,2,FALSE) - VLOOKUP(C989,'CHAS - Chicago'!$C$1:$J$2762,2,FALSE)</f>
        <v>0</v>
      </c>
      <c r="E989" t="s">
        <v>373</v>
      </c>
      <c r="F989" s="71" t="s">
        <v>367</v>
      </c>
      <c r="G989" s="71" t="s">
        <v>1413</v>
      </c>
      <c r="H989" s="71" t="s">
        <v>1389</v>
      </c>
      <c r="I989" s="71" t="s">
        <v>1387</v>
      </c>
    </row>
    <row r="990" spans="1:9" ht="43.5" x14ac:dyDescent="0.35">
      <c r="A990">
        <v>7</v>
      </c>
      <c r="B990">
        <v>40</v>
      </c>
      <c r="C990" t="s">
        <v>1424</v>
      </c>
      <c r="D990" s="64">
        <f>VLOOKUP(C990,'CHAS - Cook Co'!$C$1:$J$2762,2,FALSE) - VLOOKUP(C990,'CHAS - Chicago'!$C$1:$J$2762,2,FALSE)</f>
        <v>6695</v>
      </c>
      <c r="E990" t="s">
        <v>366</v>
      </c>
      <c r="F990" s="71" t="s">
        <v>367</v>
      </c>
      <c r="G990" s="71" t="s">
        <v>1413</v>
      </c>
      <c r="H990" s="71" t="s">
        <v>1395</v>
      </c>
      <c r="I990" s="71" t="s">
        <v>1374</v>
      </c>
    </row>
    <row r="991" spans="1:9" ht="43.5" x14ac:dyDescent="0.35">
      <c r="A991">
        <v>7</v>
      </c>
      <c r="B991">
        <v>41</v>
      </c>
      <c r="C991" t="s">
        <v>1425</v>
      </c>
      <c r="D991" s="64">
        <f>VLOOKUP(C991,'CHAS - Cook Co'!$C$1:$J$2762,2,FALSE) - VLOOKUP(C991,'CHAS - Chicago'!$C$1:$J$2762,2,FALSE)</f>
        <v>1575</v>
      </c>
      <c r="E991" t="s">
        <v>373</v>
      </c>
      <c r="F991" s="71" t="s">
        <v>367</v>
      </c>
      <c r="G991" s="71" t="s">
        <v>1413</v>
      </c>
      <c r="H991" s="71" t="s">
        <v>1395</v>
      </c>
      <c r="I991" s="71" t="s">
        <v>1381</v>
      </c>
    </row>
    <row r="992" spans="1:9" ht="43.5" x14ac:dyDescent="0.35">
      <c r="A992">
        <v>7</v>
      </c>
      <c r="B992">
        <v>42</v>
      </c>
      <c r="C992" t="s">
        <v>1426</v>
      </c>
      <c r="D992" s="64">
        <f>VLOOKUP(C992,'CHAS - Cook Co'!$C$1:$J$2762,2,FALSE) - VLOOKUP(C992,'CHAS - Chicago'!$C$1:$J$2762,2,FALSE)</f>
        <v>2220</v>
      </c>
      <c r="E992" t="s">
        <v>373</v>
      </c>
      <c r="F992" s="71" t="s">
        <v>367</v>
      </c>
      <c r="G992" s="71" t="s">
        <v>1413</v>
      </c>
      <c r="H992" s="71" t="s">
        <v>1395</v>
      </c>
      <c r="I992" s="71" t="s">
        <v>1383</v>
      </c>
    </row>
    <row r="993" spans="1:9" ht="43.5" x14ac:dyDescent="0.35">
      <c r="A993">
        <v>7</v>
      </c>
      <c r="B993">
        <v>43</v>
      </c>
      <c r="C993" t="s">
        <v>1427</v>
      </c>
      <c r="D993" s="64">
        <f>VLOOKUP(C993,'CHAS - Cook Co'!$C$1:$J$2762,2,FALSE) - VLOOKUP(C993,'CHAS - Chicago'!$C$1:$J$2762,2,FALSE)</f>
        <v>2900</v>
      </c>
      <c r="E993" t="s">
        <v>373</v>
      </c>
      <c r="F993" s="71" t="s">
        <v>367</v>
      </c>
      <c r="G993" s="71" t="s">
        <v>1413</v>
      </c>
      <c r="H993" s="71" t="s">
        <v>1395</v>
      </c>
      <c r="I993" s="71" t="s">
        <v>1385</v>
      </c>
    </row>
    <row r="994" spans="1:9" ht="43.5" x14ac:dyDescent="0.35">
      <c r="A994">
        <v>7</v>
      </c>
      <c r="B994">
        <v>44</v>
      </c>
      <c r="C994" t="s">
        <v>1428</v>
      </c>
      <c r="D994" s="64">
        <f>VLOOKUP(C994,'CHAS - Cook Co'!$C$1:$J$2762,2,FALSE) - VLOOKUP(C994,'CHAS - Chicago'!$C$1:$J$2762,2,FALSE)</f>
        <v>0</v>
      </c>
      <c r="E994" t="s">
        <v>373</v>
      </c>
      <c r="F994" s="71" t="s">
        <v>367</v>
      </c>
      <c r="G994" s="71" t="s">
        <v>1413</v>
      </c>
      <c r="H994" s="71" t="s">
        <v>1395</v>
      </c>
      <c r="I994" s="71" t="s">
        <v>1387</v>
      </c>
    </row>
    <row r="995" spans="1:9" ht="43.5" x14ac:dyDescent="0.35">
      <c r="A995">
        <v>7</v>
      </c>
      <c r="B995">
        <v>45</v>
      </c>
      <c r="C995" t="s">
        <v>1429</v>
      </c>
      <c r="D995" s="64">
        <f>VLOOKUP(C995,'CHAS - Cook Co'!$C$1:$J$2762,2,FALSE) - VLOOKUP(C995,'CHAS - Chicago'!$C$1:$J$2762,2,FALSE)</f>
        <v>22830</v>
      </c>
      <c r="E995" t="s">
        <v>366</v>
      </c>
      <c r="F995" s="71" t="s">
        <v>367</v>
      </c>
      <c r="G995" s="71" t="s">
        <v>1413</v>
      </c>
      <c r="H995" s="71" t="s">
        <v>1401</v>
      </c>
      <c r="I995" s="71" t="s">
        <v>1374</v>
      </c>
    </row>
    <row r="996" spans="1:9" ht="43.5" x14ac:dyDescent="0.35">
      <c r="A996">
        <v>7</v>
      </c>
      <c r="B996">
        <v>46</v>
      </c>
      <c r="C996" t="s">
        <v>1430</v>
      </c>
      <c r="D996" s="64">
        <f>VLOOKUP(C996,'CHAS - Cook Co'!$C$1:$J$2762,2,FALSE) - VLOOKUP(C996,'CHAS - Chicago'!$C$1:$J$2762,2,FALSE)</f>
        <v>8720</v>
      </c>
      <c r="E996" t="s">
        <v>373</v>
      </c>
      <c r="F996" s="71" t="s">
        <v>367</v>
      </c>
      <c r="G996" s="71" t="s">
        <v>1413</v>
      </c>
      <c r="H996" s="71" t="s">
        <v>1401</v>
      </c>
      <c r="I996" s="71" t="s">
        <v>1381</v>
      </c>
    </row>
    <row r="997" spans="1:9" ht="43.5" x14ac:dyDescent="0.35">
      <c r="A997">
        <v>7</v>
      </c>
      <c r="B997">
        <v>47</v>
      </c>
      <c r="C997" t="s">
        <v>1431</v>
      </c>
      <c r="D997" s="64">
        <f>VLOOKUP(C997,'CHAS - Cook Co'!$C$1:$J$2762,2,FALSE) - VLOOKUP(C997,'CHAS - Chicago'!$C$1:$J$2762,2,FALSE)</f>
        <v>7720</v>
      </c>
      <c r="E997" t="s">
        <v>373</v>
      </c>
      <c r="F997" s="71" t="s">
        <v>367</v>
      </c>
      <c r="G997" s="71" t="s">
        <v>1413</v>
      </c>
      <c r="H997" s="71" t="s">
        <v>1401</v>
      </c>
      <c r="I997" s="71" t="s">
        <v>1383</v>
      </c>
    </row>
    <row r="998" spans="1:9" ht="43.5" x14ac:dyDescent="0.35">
      <c r="A998">
        <v>7</v>
      </c>
      <c r="B998">
        <v>48</v>
      </c>
      <c r="C998" t="s">
        <v>1432</v>
      </c>
      <c r="D998" s="64">
        <f>VLOOKUP(C998,'CHAS - Cook Co'!$C$1:$J$2762,2,FALSE) - VLOOKUP(C998,'CHAS - Chicago'!$C$1:$J$2762,2,FALSE)</f>
        <v>6385</v>
      </c>
      <c r="E998" t="s">
        <v>373</v>
      </c>
      <c r="F998" s="71" t="s">
        <v>367</v>
      </c>
      <c r="G998" s="71" t="s">
        <v>1413</v>
      </c>
      <c r="H998" s="71" t="s">
        <v>1401</v>
      </c>
      <c r="I998" s="71" t="s">
        <v>1385</v>
      </c>
    </row>
    <row r="999" spans="1:9" ht="43.5" x14ac:dyDescent="0.35">
      <c r="A999">
        <v>7</v>
      </c>
      <c r="B999">
        <v>49</v>
      </c>
      <c r="C999" t="s">
        <v>1433</v>
      </c>
      <c r="D999" s="64">
        <f>VLOOKUP(C999,'CHAS - Cook Co'!$C$1:$J$2762,2,FALSE) - VLOOKUP(C999,'CHAS - Chicago'!$C$1:$J$2762,2,FALSE)</f>
        <v>0</v>
      </c>
      <c r="E999" t="s">
        <v>373</v>
      </c>
      <c r="F999" s="71" t="s">
        <v>367</v>
      </c>
      <c r="G999" s="71" t="s">
        <v>1413</v>
      </c>
      <c r="H999" s="71" t="s">
        <v>1401</v>
      </c>
      <c r="I999" s="71" t="s">
        <v>1387</v>
      </c>
    </row>
    <row r="1000" spans="1:9" ht="43.5" x14ac:dyDescent="0.35">
      <c r="A1000">
        <v>7</v>
      </c>
      <c r="B1000">
        <v>50</v>
      </c>
      <c r="C1000" t="s">
        <v>1434</v>
      </c>
      <c r="D1000" s="64">
        <f>VLOOKUP(C1000,'CHAS - Cook Co'!$C$1:$J$2762,2,FALSE) - VLOOKUP(C1000,'CHAS - Chicago'!$C$1:$J$2762,2,FALSE)</f>
        <v>6765</v>
      </c>
      <c r="E1000" t="s">
        <v>366</v>
      </c>
      <c r="F1000" s="71" t="s">
        <v>367</v>
      </c>
      <c r="G1000" s="71" t="s">
        <v>1413</v>
      </c>
      <c r="H1000" s="71" t="s">
        <v>1407</v>
      </c>
      <c r="I1000" s="71" t="s">
        <v>1374</v>
      </c>
    </row>
    <row r="1001" spans="1:9" ht="43.5" x14ac:dyDescent="0.35">
      <c r="A1001">
        <v>7</v>
      </c>
      <c r="B1001">
        <v>51</v>
      </c>
      <c r="C1001" t="s">
        <v>1435</v>
      </c>
      <c r="D1001" s="64">
        <f>VLOOKUP(C1001,'CHAS - Cook Co'!$C$1:$J$2762,2,FALSE) - VLOOKUP(C1001,'CHAS - Chicago'!$C$1:$J$2762,2,FALSE)</f>
        <v>1405</v>
      </c>
      <c r="E1001" t="s">
        <v>373</v>
      </c>
      <c r="F1001" s="71" t="s">
        <v>367</v>
      </c>
      <c r="G1001" s="71" t="s">
        <v>1413</v>
      </c>
      <c r="H1001" s="71" t="s">
        <v>1407</v>
      </c>
      <c r="I1001" s="71" t="s">
        <v>1381</v>
      </c>
    </row>
    <row r="1002" spans="1:9" ht="43.5" x14ac:dyDescent="0.35">
      <c r="A1002">
        <v>7</v>
      </c>
      <c r="B1002">
        <v>52</v>
      </c>
      <c r="C1002" t="s">
        <v>1436</v>
      </c>
      <c r="D1002" s="64">
        <f>VLOOKUP(C1002,'CHAS - Cook Co'!$C$1:$J$2762,2,FALSE) - VLOOKUP(C1002,'CHAS - Chicago'!$C$1:$J$2762,2,FALSE)</f>
        <v>2115</v>
      </c>
      <c r="E1002" t="s">
        <v>373</v>
      </c>
      <c r="F1002" s="71" t="s">
        <v>367</v>
      </c>
      <c r="G1002" s="71" t="s">
        <v>1413</v>
      </c>
      <c r="H1002" s="71" t="s">
        <v>1407</v>
      </c>
      <c r="I1002" s="71" t="s">
        <v>1383</v>
      </c>
    </row>
    <row r="1003" spans="1:9" ht="43.5" x14ac:dyDescent="0.35">
      <c r="A1003">
        <v>7</v>
      </c>
      <c r="B1003">
        <v>53</v>
      </c>
      <c r="C1003" t="s">
        <v>1437</v>
      </c>
      <c r="D1003" s="64">
        <f>VLOOKUP(C1003,'CHAS - Cook Co'!$C$1:$J$2762,2,FALSE) - VLOOKUP(C1003,'CHAS - Chicago'!$C$1:$J$2762,2,FALSE)</f>
        <v>3245</v>
      </c>
      <c r="E1003" t="s">
        <v>373</v>
      </c>
      <c r="F1003" s="71" t="s">
        <v>367</v>
      </c>
      <c r="G1003" s="71" t="s">
        <v>1413</v>
      </c>
      <c r="H1003" s="71" t="s">
        <v>1407</v>
      </c>
      <c r="I1003" s="71" t="s">
        <v>1385</v>
      </c>
    </row>
    <row r="1004" spans="1:9" ht="43.5" x14ac:dyDescent="0.35">
      <c r="A1004">
        <v>7</v>
      </c>
      <c r="B1004">
        <v>54</v>
      </c>
      <c r="C1004" t="s">
        <v>1438</v>
      </c>
      <c r="D1004" s="64">
        <f>VLOOKUP(C1004,'CHAS - Cook Co'!$C$1:$J$2762,2,FALSE) - VLOOKUP(C1004,'CHAS - Chicago'!$C$1:$J$2762,2,FALSE)</f>
        <v>0</v>
      </c>
      <c r="E1004" t="s">
        <v>373</v>
      </c>
      <c r="F1004" s="71" t="s">
        <v>367</v>
      </c>
      <c r="G1004" s="71" t="s">
        <v>1413</v>
      </c>
      <c r="H1004" s="71" t="s">
        <v>1407</v>
      </c>
      <c r="I1004" s="71" t="s">
        <v>1387</v>
      </c>
    </row>
    <row r="1005" spans="1:9" ht="43.5" x14ac:dyDescent="0.35">
      <c r="A1005">
        <v>7</v>
      </c>
      <c r="B1005">
        <v>55</v>
      </c>
      <c r="C1005" t="s">
        <v>1439</v>
      </c>
      <c r="D1005" s="64">
        <f>VLOOKUP(C1005,'CHAS - Cook Co'!$C$1:$J$2762,2,FALSE) - VLOOKUP(C1005,'CHAS - Chicago'!$C$1:$J$2762,2,FALSE)</f>
        <v>102890</v>
      </c>
      <c r="E1005" t="s">
        <v>366</v>
      </c>
      <c r="F1005" s="71" t="s">
        <v>367</v>
      </c>
      <c r="G1005" s="71" t="s">
        <v>1440</v>
      </c>
      <c r="H1005" s="71" t="s">
        <v>982</v>
      </c>
      <c r="I1005" s="71" t="s">
        <v>1374</v>
      </c>
    </row>
    <row r="1006" spans="1:9" ht="43.5" x14ac:dyDescent="0.35">
      <c r="A1006">
        <v>7</v>
      </c>
      <c r="B1006">
        <v>56</v>
      </c>
      <c r="C1006" t="s">
        <v>1441</v>
      </c>
      <c r="D1006" s="64">
        <f>VLOOKUP(C1006,'CHAS - Cook Co'!$C$1:$J$2762,2,FALSE) - VLOOKUP(C1006,'CHAS - Chicago'!$C$1:$J$2762,2,FALSE)</f>
        <v>20735</v>
      </c>
      <c r="E1006" t="s">
        <v>366</v>
      </c>
      <c r="F1006" s="71" t="s">
        <v>367</v>
      </c>
      <c r="G1006" s="71" t="s">
        <v>1440</v>
      </c>
      <c r="H1006" s="71" t="s">
        <v>1379</v>
      </c>
      <c r="I1006" s="71" t="s">
        <v>1374</v>
      </c>
    </row>
    <row r="1007" spans="1:9" ht="43.5" x14ac:dyDescent="0.35">
      <c r="A1007">
        <v>7</v>
      </c>
      <c r="B1007">
        <v>57</v>
      </c>
      <c r="C1007" t="s">
        <v>1442</v>
      </c>
      <c r="D1007" s="64">
        <f>VLOOKUP(C1007,'CHAS - Cook Co'!$C$1:$J$2762,2,FALSE) - VLOOKUP(C1007,'CHAS - Chicago'!$C$1:$J$2762,2,FALSE)</f>
        <v>12995</v>
      </c>
      <c r="E1007" t="s">
        <v>373</v>
      </c>
      <c r="F1007" s="71" t="s">
        <v>367</v>
      </c>
      <c r="G1007" s="71" t="s">
        <v>1440</v>
      </c>
      <c r="H1007" s="71" t="s">
        <v>1379</v>
      </c>
      <c r="I1007" s="71" t="s">
        <v>1381</v>
      </c>
    </row>
    <row r="1008" spans="1:9" ht="43.5" x14ac:dyDescent="0.35">
      <c r="A1008">
        <v>7</v>
      </c>
      <c r="B1008">
        <v>58</v>
      </c>
      <c r="C1008" t="s">
        <v>1443</v>
      </c>
      <c r="D1008" s="64">
        <f>VLOOKUP(C1008,'CHAS - Cook Co'!$C$1:$J$2762,2,FALSE) - VLOOKUP(C1008,'CHAS - Chicago'!$C$1:$J$2762,2,FALSE)</f>
        <v>5065</v>
      </c>
      <c r="E1008" t="s">
        <v>373</v>
      </c>
      <c r="F1008" s="71" t="s">
        <v>367</v>
      </c>
      <c r="G1008" s="71" t="s">
        <v>1440</v>
      </c>
      <c r="H1008" s="71" t="s">
        <v>1379</v>
      </c>
      <c r="I1008" s="71" t="s">
        <v>1383</v>
      </c>
    </row>
    <row r="1009" spans="1:9" ht="43.5" x14ac:dyDescent="0.35">
      <c r="A1009">
        <v>7</v>
      </c>
      <c r="B1009">
        <v>59</v>
      </c>
      <c r="C1009" t="s">
        <v>1444</v>
      </c>
      <c r="D1009" s="64">
        <f>VLOOKUP(C1009,'CHAS - Cook Co'!$C$1:$J$2762,2,FALSE) - VLOOKUP(C1009,'CHAS - Chicago'!$C$1:$J$2762,2,FALSE)</f>
        <v>2680</v>
      </c>
      <c r="E1009" t="s">
        <v>373</v>
      </c>
      <c r="F1009" s="71" t="s">
        <v>367</v>
      </c>
      <c r="G1009" s="71" t="s">
        <v>1440</v>
      </c>
      <c r="H1009" s="71" t="s">
        <v>1379</v>
      </c>
      <c r="I1009" s="71" t="s">
        <v>1385</v>
      </c>
    </row>
    <row r="1010" spans="1:9" ht="43.5" x14ac:dyDescent="0.35">
      <c r="A1010">
        <v>7</v>
      </c>
      <c r="B1010">
        <v>60</v>
      </c>
      <c r="C1010" t="s">
        <v>1445</v>
      </c>
      <c r="D1010" s="64">
        <f>VLOOKUP(C1010,'CHAS - Cook Co'!$C$1:$J$2762,2,FALSE) - VLOOKUP(C1010,'CHAS - Chicago'!$C$1:$J$2762,2,FALSE)</f>
        <v>0</v>
      </c>
      <c r="E1010" t="s">
        <v>373</v>
      </c>
      <c r="F1010" s="71" t="s">
        <v>367</v>
      </c>
      <c r="G1010" s="71" t="s">
        <v>1440</v>
      </c>
      <c r="H1010" s="71" t="s">
        <v>1379</v>
      </c>
      <c r="I1010" s="71" t="s">
        <v>1387</v>
      </c>
    </row>
    <row r="1011" spans="1:9" ht="58" x14ac:dyDescent="0.35">
      <c r="A1011">
        <v>7</v>
      </c>
      <c r="B1011">
        <v>61</v>
      </c>
      <c r="C1011" t="s">
        <v>1446</v>
      </c>
      <c r="D1011" s="64">
        <f>VLOOKUP(C1011,'CHAS - Cook Co'!$C$1:$J$2762,2,FALSE) - VLOOKUP(C1011,'CHAS - Chicago'!$C$1:$J$2762,2,FALSE)</f>
        <v>36880</v>
      </c>
      <c r="E1011" t="s">
        <v>366</v>
      </c>
      <c r="F1011" s="71" t="s">
        <v>367</v>
      </c>
      <c r="G1011" s="71" t="s">
        <v>1440</v>
      </c>
      <c r="H1011" s="71" t="s">
        <v>1389</v>
      </c>
      <c r="I1011" s="71" t="s">
        <v>1374</v>
      </c>
    </row>
    <row r="1012" spans="1:9" ht="58" x14ac:dyDescent="0.35">
      <c r="A1012">
        <v>7</v>
      </c>
      <c r="B1012">
        <v>62</v>
      </c>
      <c r="C1012" t="s">
        <v>1447</v>
      </c>
      <c r="D1012" s="64">
        <f>VLOOKUP(C1012,'CHAS - Cook Co'!$C$1:$J$2762,2,FALSE) - VLOOKUP(C1012,'CHAS - Chicago'!$C$1:$J$2762,2,FALSE)</f>
        <v>15420</v>
      </c>
      <c r="E1012" t="s">
        <v>373</v>
      </c>
      <c r="F1012" s="71" t="s">
        <v>367</v>
      </c>
      <c r="G1012" s="71" t="s">
        <v>1440</v>
      </c>
      <c r="H1012" s="71" t="s">
        <v>1389</v>
      </c>
      <c r="I1012" s="71" t="s">
        <v>1381</v>
      </c>
    </row>
    <row r="1013" spans="1:9" ht="58" x14ac:dyDescent="0.35">
      <c r="A1013">
        <v>7</v>
      </c>
      <c r="B1013">
        <v>63</v>
      </c>
      <c r="C1013" t="s">
        <v>1448</v>
      </c>
      <c r="D1013" s="64">
        <f>VLOOKUP(C1013,'CHAS - Cook Co'!$C$1:$J$2762,2,FALSE) - VLOOKUP(C1013,'CHAS - Chicago'!$C$1:$J$2762,2,FALSE)</f>
        <v>15175</v>
      </c>
      <c r="E1013" t="s">
        <v>373</v>
      </c>
      <c r="F1013" s="71" t="s">
        <v>367</v>
      </c>
      <c r="G1013" s="71" t="s">
        <v>1440</v>
      </c>
      <c r="H1013" s="71" t="s">
        <v>1389</v>
      </c>
      <c r="I1013" s="71" t="s">
        <v>1383</v>
      </c>
    </row>
    <row r="1014" spans="1:9" ht="58" x14ac:dyDescent="0.35">
      <c r="A1014">
        <v>7</v>
      </c>
      <c r="B1014">
        <v>64</v>
      </c>
      <c r="C1014" t="s">
        <v>1449</v>
      </c>
      <c r="D1014" s="64">
        <f>VLOOKUP(C1014,'CHAS - Cook Co'!$C$1:$J$2762,2,FALSE) - VLOOKUP(C1014,'CHAS - Chicago'!$C$1:$J$2762,2,FALSE)</f>
        <v>6285</v>
      </c>
      <c r="E1014" t="s">
        <v>373</v>
      </c>
      <c r="F1014" s="71" t="s">
        <v>367</v>
      </c>
      <c r="G1014" s="71" t="s">
        <v>1440</v>
      </c>
      <c r="H1014" s="71" t="s">
        <v>1389</v>
      </c>
      <c r="I1014" s="71" t="s">
        <v>1385</v>
      </c>
    </row>
    <row r="1015" spans="1:9" ht="58" x14ac:dyDescent="0.35">
      <c r="A1015">
        <v>7</v>
      </c>
      <c r="B1015">
        <v>65</v>
      </c>
      <c r="C1015" t="s">
        <v>1450</v>
      </c>
      <c r="D1015" s="64">
        <f>VLOOKUP(C1015,'CHAS - Cook Co'!$C$1:$J$2762,2,FALSE) - VLOOKUP(C1015,'CHAS - Chicago'!$C$1:$J$2762,2,FALSE)</f>
        <v>0</v>
      </c>
      <c r="E1015" t="s">
        <v>373</v>
      </c>
      <c r="F1015" s="71" t="s">
        <v>367</v>
      </c>
      <c r="G1015" s="71" t="s">
        <v>1440</v>
      </c>
      <c r="H1015" s="71" t="s">
        <v>1389</v>
      </c>
      <c r="I1015" s="71" t="s">
        <v>1387</v>
      </c>
    </row>
    <row r="1016" spans="1:9" ht="43.5" x14ac:dyDescent="0.35">
      <c r="A1016">
        <v>7</v>
      </c>
      <c r="B1016">
        <v>66</v>
      </c>
      <c r="C1016" t="s">
        <v>1451</v>
      </c>
      <c r="D1016" s="64">
        <f>VLOOKUP(C1016,'CHAS - Cook Co'!$C$1:$J$2762,2,FALSE) - VLOOKUP(C1016,'CHAS - Chicago'!$C$1:$J$2762,2,FALSE)</f>
        <v>11755</v>
      </c>
      <c r="E1016" t="s">
        <v>366</v>
      </c>
      <c r="F1016" s="71" t="s">
        <v>367</v>
      </c>
      <c r="G1016" s="71" t="s">
        <v>1440</v>
      </c>
      <c r="H1016" s="71" t="s">
        <v>1395</v>
      </c>
      <c r="I1016" s="71" t="s">
        <v>1374</v>
      </c>
    </row>
    <row r="1017" spans="1:9" ht="43.5" x14ac:dyDescent="0.35">
      <c r="A1017">
        <v>7</v>
      </c>
      <c r="B1017">
        <v>67</v>
      </c>
      <c r="C1017" t="s">
        <v>1452</v>
      </c>
      <c r="D1017" s="64">
        <f>VLOOKUP(C1017,'CHAS - Cook Co'!$C$1:$J$2762,2,FALSE) - VLOOKUP(C1017,'CHAS - Chicago'!$C$1:$J$2762,2,FALSE)</f>
        <v>5810</v>
      </c>
      <c r="E1017" t="s">
        <v>373</v>
      </c>
      <c r="F1017" s="71" t="s">
        <v>367</v>
      </c>
      <c r="G1017" s="71" t="s">
        <v>1440</v>
      </c>
      <c r="H1017" s="71" t="s">
        <v>1395</v>
      </c>
      <c r="I1017" s="71" t="s">
        <v>1381</v>
      </c>
    </row>
    <row r="1018" spans="1:9" ht="43.5" x14ac:dyDescent="0.35">
      <c r="A1018">
        <v>7</v>
      </c>
      <c r="B1018">
        <v>68</v>
      </c>
      <c r="C1018" t="s">
        <v>1453</v>
      </c>
      <c r="D1018" s="64">
        <f>VLOOKUP(C1018,'CHAS - Cook Co'!$C$1:$J$2762,2,FALSE) - VLOOKUP(C1018,'CHAS - Chicago'!$C$1:$J$2762,2,FALSE)</f>
        <v>4615</v>
      </c>
      <c r="E1018" t="s">
        <v>373</v>
      </c>
      <c r="F1018" s="71" t="s">
        <v>367</v>
      </c>
      <c r="G1018" s="71" t="s">
        <v>1440</v>
      </c>
      <c r="H1018" s="71" t="s">
        <v>1395</v>
      </c>
      <c r="I1018" s="71" t="s">
        <v>1383</v>
      </c>
    </row>
    <row r="1019" spans="1:9" ht="43.5" x14ac:dyDescent="0.35">
      <c r="A1019">
        <v>7</v>
      </c>
      <c r="B1019">
        <v>69</v>
      </c>
      <c r="C1019" t="s">
        <v>1454</v>
      </c>
      <c r="D1019" s="64">
        <f>VLOOKUP(C1019,'CHAS - Cook Co'!$C$1:$J$2762,2,FALSE) - VLOOKUP(C1019,'CHAS - Chicago'!$C$1:$J$2762,2,FALSE)</f>
        <v>1325</v>
      </c>
      <c r="E1019" t="s">
        <v>373</v>
      </c>
      <c r="F1019" s="71" t="s">
        <v>367</v>
      </c>
      <c r="G1019" s="71" t="s">
        <v>1440</v>
      </c>
      <c r="H1019" s="71" t="s">
        <v>1395</v>
      </c>
      <c r="I1019" s="71" t="s">
        <v>1385</v>
      </c>
    </row>
    <row r="1020" spans="1:9" ht="43.5" x14ac:dyDescent="0.35">
      <c r="A1020">
        <v>7</v>
      </c>
      <c r="B1020">
        <v>70</v>
      </c>
      <c r="C1020" t="s">
        <v>1455</v>
      </c>
      <c r="D1020" s="64">
        <f>VLOOKUP(C1020,'CHAS - Cook Co'!$C$1:$J$2762,2,FALSE) - VLOOKUP(C1020,'CHAS - Chicago'!$C$1:$J$2762,2,FALSE)</f>
        <v>0</v>
      </c>
      <c r="E1020" t="s">
        <v>373</v>
      </c>
      <c r="F1020" s="71" t="s">
        <v>367</v>
      </c>
      <c r="G1020" s="71" t="s">
        <v>1440</v>
      </c>
      <c r="H1020" s="71" t="s">
        <v>1395</v>
      </c>
      <c r="I1020" s="71" t="s">
        <v>1387</v>
      </c>
    </row>
    <row r="1021" spans="1:9" ht="43.5" x14ac:dyDescent="0.35">
      <c r="A1021">
        <v>7</v>
      </c>
      <c r="B1021">
        <v>71</v>
      </c>
      <c r="C1021" t="s">
        <v>1456</v>
      </c>
      <c r="D1021" s="64">
        <f>VLOOKUP(C1021,'CHAS - Cook Co'!$C$1:$J$2762,2,FALSE) - VLOOKUP(C1021,'CHAS - Chicago'!$C$1:$J$2762,2,FALSE)</f>
        <v>19480</v>
      </c>
      <c r="E1021" t="s">
        <v>366</v>
      </c>
      <c r="F1021" s="71" t="s">
        <v>367</v>
      </c>
      <c r="G1021" s="71" t="s">
        <v>1440</v>
      </c>
      <c r="H1021" s="71" t="s">
        <v>1401</v>
      </c>
      <c r="I1021" s="71" t="s">
        <v>1374</v>
      </c>
    </row>
    <row r="1022" spans="1:9" ht="43.5" x14ac:dyDescent="0.35">
      <c r="A1022">
        <v>7</v>
      </c>
      <c r="B1022">
        <v>72</v>
      </c>
      <c r="C1022" t="s">
        <v>1457</v>
      </c>
      <c r="D1022" s="64">
        <f>VLOOKUP(C1022,'CHAS - Cook Co'!$C$1:$J$2762,2,FALSE) - VLOOKUP(C1022,'CHAS - Chicago'!$C$1:$J$2762,2,FALSE)</f>
        <v>12665</v>
      </c>
      <c r="E1022" t="s">
        <v>373</v>
      </c>
      <c r="F1022" s="71" t="s">
        <v>367</v>
      </c>
      <c r="G1022" s="71" t="s">
        <v>1440</v>
      </c>
      <c r="H1022" s="71" t="s">
        <v>1401</v>
      </c>
      <c r="I1022" s="71" t="s">
        <v>1381</v>
      </c>
    </row>
    <row r="1023" spans="1:9" ht="43.5" x14ac:dyDescent="0.35">
      <c r="A1023">
        <v>7</v>
      </c>
      <c r="B1023">
        <v>73</v>
      </c>
      <c r="C1023" t="s">
        <v>1458</v>
      </c>
      <c r="D1023" s="64">
        <f>VLOOKUP(C1023,'CHAS - Cook Co'!$C$1:$J$2762,2,FALSE) - VLOOKUP(C1023,'CHAS - Chicago'!$C$1:$J$2762,2,FALSE)</f>
        <v>4790</v>
      </c>
      <c r="E1023" t="s">
        <v>373</v>
      </c>
      <c r="F1023" s="71" t="s">
        <v>367</v>
      </c>
      <c r="G1023" s="71" t="s">
        <v>1440</v>
      </c>
      <c r="H1023" s="71" t="s">
        <v>1401</v>
      </c>
      <c r="I1023" s="71" t="s">
        <v>1383</v>
      </c>
    </row>
    <row r="1024" spans="1:9" ht="43.5" x14ac:dyDescent="0.35">
      <c r="A1024">
        <v>7</v>
      </c>
      <c r="B1024">
        <v>74</v>
      </c>
      <c r="C1024" t="s">
        <v>1459</v>
      </c>
      <c r="D1024" s="64">
        <f>VLOOKUP(C1024,'CHAS - Cook Co'!$C$1:$J$2762,2,FALSE) - VLOOKUP(C1024,'CHAS - Chicago'!$C$1:$J$2762,2,FALSE)</f>
        <v>2025</v>
      </c>
      <c r="E1024" t="s">
        <v>373</v>
      </c>
      <c r="F1024" s="71" t="s">
        <v>367</v>
      </c>
      <c r="G1024" s="71" t="s">
        <v>1440</v>
      </c>
      <c r="H1024" s="71" t="s">
        <v>1401</v>
      </c>
      <c r="I1024" s="71" t="s">
        <v>1385</v>
      </c>
    </row>
    <row r="1025" spans="1:9" ht="43.5" x14ac:dyDescent="0.35">
      <c r="A1025">
        <v>7</v>
      </c>
      <c r="B1025">
        <v>75</v>
      </c>
      <c r="C1025" t="s">
        <v>1460</v>
      </c>
      <c r="D1025" s="64">
        <f>VLOOKUP(C1025,'CHAS - Cook Co'!$C$1:$J$2762,2,FALSE) - VLOOKUP(C1025,'CHAS - Chicago'!$C$1:$J$2762,2,FALSE)</f>
        <v>0</v>
      </c>
      <c r="E1025" t="s">
        <v>373</v>
      </c>
      <c r="F1025" s="71" t="s">
        <v>367</v>
      </c>
      <c r="G1025" s="71" t="s">
        <v>1440</v>
      </c>
      <c r="H1025" s="71" t="s">
        <v>1401</v>
      </c>
      <c r="I1025" s="71" t="s">
        <v>1387</v>
      </c>
    </row>
    <row r="1026" spans="1:9" ht="43.5" x14ac:dyDescent="0.35">
      <c r="A1026">
        <v>7</v>
      </c>
      <c r="B1026">
        <v>76</v>
      </c>
      <c r="C1026" t="s">
        <v>1461</v>
      </c>
      <c r="D1026" s="64">
        <f>VLOOKUP(C1026,'CHAS - Cook Co'!$C$1:$J$2762,2,FALSE) - VLOOKUP(C1026,'CHAS - Chicago'!$C$1:$J$2762,2,FALSE)</f>
        <v>14045</v>
      </c>
      <c r="E1026" t="s">
        <v>366</v>
      </c>
      <c r="F1026" s="71" t="s">
        <v>367</v>
      </c>
      <c r="G1026" s="71" t="s">
        <v>1440</v>
      </c>
      <c r="H1026" s="71" t="s">
        <v>1407</v>
      </c>
      <c r="I1026" s="71" t="s">
        <v>1374</v>
      </c>
    </row>
    <row r="1027" spans="1:9" ht="43.5" x14ac:dyDescent="0.35">
      <c r="A1027">
        <v>7</v>
      </c>
      <c r="B1027">
        <v>77</v>
      </c>
      <c r="C1027" t="s">
        <v>1462</v>
      </c>
      <c r="D1027" s="64">
        <f>VLOOKUP(C1027,'CHAS - Cook Co'!$C$1:$J$2762,2,FALSE) - VLOOKUP(C1027,'CHAS - Chicago'!$C$1:$J$2762,2,FALSE)</f>
        <v>6030</v>
      </c>
      <c r="E1027" t="s">
        <v>373</v>
      </c>
      <c r="F1027" s="71" t="s">
        <v>367</v>
      </c>
      <c r="G1027" s="71" t="s">
        <v>1440</v>
      </c>
      <c r="H1027" s="71" t="s">
        <v>1407</v>
      </c>
      <c r="I1027" s="71" t="s">
        <v>1381</v>
      </c>
    </row>
    <row r="1028" spans="1:9" ht="43.5" x14ac:dyDescent="0.35">
      <c r="A1028">
        <v>7</v>
      </c>
      <c r="B1028">
        <v>78</v>
      </c>
      <c r="C1028" t="s">
        <v>1463</v>
      </c>
      <c r="D1028" s="64">
        <f>VLOOKUP(C1028,'CHAS - Cook Co'!$C$1:$J$2762,2,FALSE) - VLOOKUP(C1028,'CHAS - Chicago'!$C$1:$J$2762,2,FALSE)</f>
        <v>5250</v>
      </c>
      <c r="E1028" t="s">
        <v>373</v>
      </c>
      <c r="F1028" s="71" t="s">
        <v>367</v>
      </c>
      <c r="G1028" s="71" t="s">
        <v>1440</v>
      </c>
      <c r="H1028" s="71" t="s">
        <v>1407</v>
      </c>
      <c r="I1028" s="71" t="s">
        <v>1383</v>
      </c>
    </row>
    <row r="1029" spans="1:9" ht="43.5" x14ac:dyDescent="0.35">
      <c r="A1029">
        <v>7</v>
      </c>
      <c r="B1029">
        <v>79</v>
      </c>
      <c r="C1029" t="s">
        <v>1464</v>
      </c>
      <c r="D1029" s="64">
        <f>VLOOKUP(C1029,'CHAS - Cook Co'!$C$1:$J$2762,2,FALSE) - VLOOKUP(C1029,'CHAS - Chicago'!$C$1:$J$2762,2,FALSE)</f>
        <v>2765</v>
      </c>
      <c r="E1029" t="s">
        <v>373</v>
      </c>
      <c r="F1029" s="71" t="s">
        <v>367</v>
      </c>
      <c r="G1029" s="71" t="s">
        <v>1440</v>
      </c>
      <c r="H1029" s="71" t="s">
        <v>1407</v>
      </c>
      <c r="I1029" s="71" t="s">
        <v>1385</v>
      </c>
    </row>
    <row r="1030" spans="1:9" ht="43.5" x14ac:dyDescent="0.35">
      <c r="A1030">
        <v>7</v>
      </c>
      <c r="B1030">
        <v>80</v>
      </c>
      <c r="C1030" t="s">
        <v>1465</v>
      </c>
      <c r="D1030" s="64">
        <f>VLOOKUP(C1030,'CHAS - Cook Co'!$C$1:$J$2762,2,FALSE) - VLOOKUP(C1030,'CHAS - Chicago'!$C$1:$J$2762,2,FALSE)</f>
        <v>0</v>
      </c>
      <c r="E1030" t="s">
        <v>373</v>
      </c>
      <c r="F1030" s="71" t="s">
        <v>367</v>
      </c>
      <c r="G1030" s="71" t="s">
        <v>1440</v>
      </c>
      <c r="H1030" s="71" t="s">
        <v>1407</v>
      </c>
      <c r="I1030" s="71" t="s">
        <v>1387</v>
      </c>
    </row>
    <row r="1031" spans="1:9" ht="43.5" x14ac:dyDescent="0.35">
      <c r="A1031">
        <v>7</v>
      </c>
      <c r="B1031">
        <v>81</v>
      </c>
      <c r="C1031" t="s">
        <v>1466</v>
      </c>
      <c r="D1031" s="64">
        <f>VLOOKUP(C1031,'CHAS - Cook Co'!$C$1:$J$2762,2,FALSE) - VLOOKUP(C1031,'CHAS - Chicago'!$C$1:$J$2762,2,FALSE)</f>
        <v>69210</v>
      </c>
      <c r="E1031" t="s">
        <v>366</v>
      </c>
      <c r="F1031" s="71" t="s">
        <v>367</v>
      </c>
      <c r="G1031" s="71" t="s">
        <v>1467</v>
      </c>
      <c r="H1031" s="71" t="s">
        <v>982</v>
      </c>
      <c r="I1031" s="71" t="s">
        <v>1374</v>
      </c>
    </row>
    <row r="1032" spans="1:9" ht="43.5" x14ac:dyDescent="0.35">
      <c r="A1032">
        <v>7</v>
      </c>
      <c r="B1032">
        <v>82</v>
      </c>
      <c r="C1032" t="s">
        <v>1468</v>
      </c>
      <c r="D1032" s="64">
        <f>VLOOKUP(C1032,'CHAS - Cook Co'!$C$1:$J$2762,2,FALSE) - VLOOKUP(C1032,'CHAS - Chicago'!$C$1:$J$2762,2,FALSE)</f>
        <v>13480</v>
      </c>
      <c r="E1032" t="s">
        <v>366</v>
      </c>
      <c r="F1032" s="71" t="s">
        <v>367</v>
      </c>
      <c r="G1032" s="71" t="s">
        <v>1467</v>
      </c>
      <c r="H1032" s="71" t="s">
        <v>1379</v>
      </c>
      <c r="I1032" s="71" t="s">
        <v>1374</v>
      </c>
    </row>
    <row r="1033" spans="1:9" ht="43.5" x14ac:dyDescent="0.35">
      <c r="A1033">
        <v>7</v>
      </c>
      <c r="B1033">
        <v>83</v>
      </c>
      <c r="C1033" t="s">
        <v>1469</v>
      </c>
      <c r="D1033" s="64">
        <f>VLOOKUP(C1033,'CHAS - Cook Co'!$C$1:$J$2762,2,FALSE) - VLOOKUP(C1033,'CHAS - Chicago'!$C$1:$J$2762,2,FALSE)</f>
        <v>10060</v>
      </c>
      <c r="E1033" t="s">
        <v>373</v>
      </c>
      <c r="F1033" s="71" t="s">
        <v>367</v>
      </c>
      <c r="G1033" s="71" t="s">
        <v>1467</v>
      </c>
      <c r="H1033" s="71" t="s">
        <v>1379</v>
      </c>
      <c r="I1033" s="71" t="s">
        <v>1381</v>
      </c>
    </row>
    <row r="1034" spans="1:9" ht="43.5" x14ac:dyDescent="0.35">
      <c r="A1034">
        <v>7</v>
      </c>
      <c r="B1034">
        <v>84</v>
      </c>
      <c r="C1034" t="s">
        <v>1470</v>
      </c>
      <c r="D1034" s="64">
        <f>VLOOKUP(C1034,'CHAS - Cook Co'!$C$1:$J$2762,2,FALSE) - VLOOKUP(C1034,'CHAS - Chicago'!$C$1:$J$2762,2,FALSE)</f>
        <v>2725</v>
      </c>
      <c r="E1034" t="s">
        <v>373</v>
      </c>
      <c r="F1034" s="71" t="s">
        <v>367</v>
      </c>
      <c r="G1034" s="71" t="s">
        <v>1467</v>
      </c>
      <c r="H1034" s="71" t="s">
        <v>1379</v>
      </c>
      <c r="I1034" s="71" t="s">
        <v>1383</v>
      </c>
    </row>
    <row r="1035" spans="1:9" ht="43.5" x14ac:dyDescent="0.35">
      <c r="A1035">
        <v>7</v>
      </c>
      <c r="B1035">
        <v>85</v>
      </c>
      <c r="C1035" t="s">
        <v>1471</v>
      </c>
      <c r="D1035" s="64">
        <f>VLOOKUP(C1035,'CHAS - Cook Co'!$C$1:$J$2762,2,FALSE) - VLOOKUP(C1035,'CHAS - Chicago'!$C$1:$J$2762,2,FALSE)</f>
        <v>695</v>
      </c>
      <c r="E1035" t="s">
        <v>373</v>
      </c>
      <c r="F1035" s="71" t="s">
        <v>367</v>
      </c>
      <c r="G1035" s="71" t="s">
        <v>1467</v>
      </c>
      <c r="H1035" s="71" t="s">
        <v>1379</v>
      </c>
      <c r="I1035" s="71" t="s">
        <v>1385</v>
      </c>
    </row>
    <row r="1036" spans="1:9" ht="43.5" x14ac:dyDescent="0.35">
      <c r="A1036">
        <v>7</v>
      </c>
      <c r="B1036">
        <v>86</v>
      </c>
      <c r="C1036" t="s">
        <v>1472</v>
      </c>
      <c r="D1036" s="64">
        <f>VLOOKUP(C1036,'CHAS - Cook Co'!$C$1:$J$2762,2,FALSE) - VLOOKUP(C1036,'CHAS - Chicago'!$C$1:$J$2762,2,FALSE)</f>
        <v>0</v>
      </c>
      <c r="E1036" t="s">
        <v>373</v>
      </c>
      <c r="F1036" s="71" t="s">
        <v>367</v>
      </c>
      <c r="G1036" s="71" t="s">
        <v>1467</v>
      </c>
      <c r="H1036" s="71" t="s">
        <v>1379</v>
      </c>
      <c r="I1036" s="71" t="s">
        <v>1387</v>
      </c>
    </row>
    <row r="1037" spans="1:9" ht="58" x14ac:dyDescent="0.35">
      <c r="A1037">
        <v>7</v>
      </c>
      <c r="B1037">
        <v>87</v>
      </c>
      <c r="C1037" t="s">
        <v>1473</v>
      </c>
      <c r="D1037" s="64">
        <f>VLOOKUP(C1037,'CHAS - Cook Co'!$C$1:$J$2762,2,FALSE) - VLOOKUP(C1037,'CHAS - Chicago'!$C$1:$J$2762,2,FALSE)</f>
        <v>28960</v>
      </c>
      <c r="E1037" t="s">
        <v>366</v>
      </c>
      <c r="F1037" s="71" t="s">
        <v>367</v>
      </c>
      <c r="G1037" s="71" t="s">
        <v>1467</v>
      </c>
      <c r="H1037" s="71" t="s">
        <v>1389</v>
      </c>
      <c r="I1037" s="71" t="s">
        <v>1374</v>
      </c>
    </row>
    <row r="1038" spans="1:9" ht="58" x14ac:dyDescent="0.35">
      <c r="A1038">
        <v>7</v>
      </c>
      <c r="B1038">
        <v>88</v>
      </c>
      <c r="C1038" t="s">
        <v>1474</v>
      </c>
      <c r="D1038" s="64">
        <f>VLOOKUP(C1038,'CHAS - Cook Co'!$C$1:$J$2762,2,FALSE) - VLOOKUP(C1038,'CHAS - Chicago'!$C$1:$J$2762,2,FALSE)</f>
        <v>19025</v>
      </c>
      <c r="E1038" t="s">
        <v>373</v>
      </c>
      <c r="F1038" s="71" t="s">
        <v>367</v>
      </c>
      <c r="G1038" s="71" t="s">
        <v>1467</v>
      </c>
      <c r="H1038" s="71" t="s">
        <v>1389</v>
      </c>
      <c r="I1038" s="71" t="s">
        <v>1381</v>
      </c>
    </row>
    <row r="1039" spans="1:9" ht="58" x14ac:dyDescent="0.35">
      <c r="A1039">
        <v>7</v>
      </c>
      <c r="B1039">
        <v>89</v>
      </c>
      <c r="C1039" t="s">
        <v>1475</v>
      </c>
      <c r="D1039" s="64">
        <f>VLOOKUP(C1039,'CHAS - Cook Co'!$C$1:$J$2762,2,FALSE) - VLOOKUP(C1039,'CHAS - Chicago'!$C$1:$J$2762,2,FALSE)</f>
        <v>8515</v>
      </c>
      <c r="E1039" t="s">
        <v>373</v>
      </c>
      <c r="F1039" s="71" t="s">
        <v>367</v>
      </c>
      <c r="G1039" s="71" t="s">
        <v>1467</v>
      </c>
      <c r="H1039" s="71" t="s">
        <v>1389</v>
      </c>
      <c r="I1039" s="71" t="s">
        <v>1383</v>
      </c>
    </row>
    <row r="1040" spans="1:9" ht="58" x14ac:dyDescent="0.35">
      <c r="A1040">
        <v>7</v>
      </c>
      <c r="B1040">
        <v>90</v>
      </c>
      <c r="C1040" t="s">
        <v>1476</v>
      </c>
      <c r="D1040" s="64">
        <f>VLOOKUP(C1040,'CHAS - Cook Co'!$C$1:$J$2762,2,FALSE) - VLOOKUP(C1040,'CHAS - Chicago'!$C$1:$J$2762,2,FALSE)</f>
        <v>1420</v>
      </c>
      <c r="E1040" t="s">
        <v>373</v>
      </c>
      <c r="F1040" s="71" t="s">
        <v>367</v>
      </c>
      <c r="G1040" s="71" t="s">
        <v>1467</v>
      </c>
      <c r="H1040" s="71" t="s">
        <v>1389</v>
      </c>
      <c r="I1040" s="71" t="s">
        <v>1385</v>
      </c>
    </row>
    <row r="1041" spans="1:9" ht="58" x14ac:dyDescent="0.35">
      <c r="A1041">
        <v>7</v>
      </c>
      <c r="B1041">
        <v>91</v>
      </c>
      <c r="C1041" t="s">
        <v>1477</v>
      </c>
      <c r="D1041" s="64">
        <f>VLOOKUP(C1041,'CHAS - Cook Co'!$C$1:$J$2762,2,FALSE) - VLOOKUP(C1041,'CHAS - Chicago'!$C$1:$J$2762,2,FALSE)</f>
        <v>0</v>
      </c>
      <c r="E1041" t="s">
        <v>373</v>
      </c>
      <c r="F1041" s="71" t="s">
        <v>367</v>
      </c>
      <c r="G1041" s="71" t="s">
        <v>1467</v>
      </c>
      <c r="H1041" s="71" t="s">
        <v>1389</v>
      </c>
      <c r="I1041" s="71" t="s">
        <v>1387</v>
      </c>
    </row>
    <row r="1042" spans="1:9" ht="43.5" x14ac:dyDescent="0.35">
      <c r="A1042">
        <v>7</v>
      </c>
      <c r="B1042">
        <v>92</v>
      </c>
      <c r="C1042" t="s">
        <v>1478</v>
      </c>
      <c r="D1042" s="64">
        <f>VLOOKUP(C1042,'CHAS - Cook Co'!$C$1:$J$2762,2,FALSE) - VLOOKUP(C1042,'CHAS - Chicago'!$C$1:$J$2762,2,FALSE)</f>
        <v>8600</v>
      </c>
      <c r="E1042" t="s">
        <v>366</v>
      </c>
      <c r="F1042" s="71" t="s">
        <v>367</v>
      </c>
      <c r="G1042" s="71" t="s">
        <v>1467</v>
      </c>
      <c r="H1042" s="71" t="s">
        <v>1395</v>
      </c>
      <c r="I1042" s="71" t="s">
        <v>1374</v>
      </c>
    </row>
    <row r="1043" spans="1:9" ht="43.5" x14ac:dyDescent="0.35">
      <c r="A1043">
        <v>7</v>
      </c>
      <c r="B1043">
        <v>93</v>
      </c>
      <c r="C1043" t="s">
        <v>1479</v>
      </c>
      <c r="D1043" s="64">
        <f>VLOOKUP(C1043,'CHAS - Cook Co'!$C$1:$J$2762,2,FALSE) - VLOOKUP(C1043,'CHAS - Chicago'!$C$1:$J$2762,2,FALSE)</f>
        <v>6310</v>
      </c>
      <c r="E1043" t="s">
        <v>373</v>
      </c>
      <c r="F1043" s="71" t="s">
        <v>367</v>
      </c>
      <c r="G1043" s="71" t="s">
        <v>1467</v>
      </c>
      <c r="H1043" s="71" t="s">
        <v>1395</v>
      </c>
      <c r="I1043" s="71" t="s">
        <v>1381</v>
      </c>
    </row>
    <row r="1044" spans="1:9" ht="43.5" x14ac:dyDescent="0.35">
      <c r="A1044">
        <v>7</v>
      </c>
      <c r="B1044">
        <v>94</v>
      </c>
      <c r="C1044" t="s">
        <v>1480</v>
      </c>
      <c r="D1044" s="64">
        <f>VLOOKUP(C1044,'CHAS - Cook Co'!$C$1:$J$2762,2,FALSE) - VLOOKUP(C1044,'CHAS - Chicago'!$C$1:$J$2762,2,FALSE)</f>
        <v>1870</v>
      </c>
      <c r="E1044" t="s">
        <v>373</v>
      </c>
      <c r="F1044" s="71" t="s">
        <v>367</v>
      </c>
      <c r="G1044" s="71" t="s">
        <v>1467</v>
      </c>
      <c r="H1044" s="71" t="s">
        <v>1395</v>
      </c>
      <c r="I1044" s="71" t="s">
        <v>1383</v>
      </c>
    </row>
    <row r="1045" spans="1:9" ht="43.5" x14ac:dyDescent="0.35">
      <c r="A1045">
        <v>7</v>
      </c>
      <c r="B1045">
        <v>95</v>
      </c>
      <c r="C1045" t="s">
        <v>1481</v>
      </c>
      <c r="D1045" s="64">
        <f>VLOOKUP(C1045,'CHAS - Cook Co'!$C$1:$J$2762,2,FALSE) - VLOOKUP(C1045,'CHAS - Chicago'!$C$1:$J$2762,2,FALSE)</f>
        <v>415</v>
      </c>
      <c r="E1045" t="s">
        <v>373</v>
      </c>
      <c r="F1045" s="71" t="s">
        <v>367</v>
      </c>
      <c r="G1045" s="71" t="s">
        <v>1467</v>
      </c>
      <c r="H1045" s="71" t="s">
        <v>1395</v>
      </c>
      <c r="I1045" s="71" t="s">
        <v>1385</v>
      </c>
    </row>
    <row r="1046" spans="1:9" ht="43.5" x14ac:dyDescent="0.35">
      <c r="A1046">
        <v>7</v>
      </c>
      <c r="B1046">
        <v>96</v>
      </c>
      <c r="C1046" t="s">
        <v>1482</v>
      </c>
      <c r="D1046" s="64">
        <f>VLOOKUP(C1046,'CHAS - Cook Co'!$C$1:$J$2762,2,FALSE) - VLOOKUP(C1046,'CHAS - Chicago'!$C$1:$J$2762,2,FALSE)</f>
        <v>0</v>
      </c>
      <c r="E1046" t="s">
        <v>373</v>
      </c>
      <c r="F1046" s="71" t="s">
        <v>367</v>
      </c>
      <c r="G1046" s="71" t="s">
        <v>1467</v>
      </c>
      <c r="H1046" s="71" t="s">
        <v>1395</v>
      </c>
      <c r="I1046" s="71" t="s">
        <v>1387</v>
      </c>
    </row>
    <row r="1047" spans="1:9" ht="43.5" x14ac:dyDescent="0.35">
      <c r="A1047">
        <v>7</v>
      </c>
      <c r="B1047">
        <v>97</v>
      </c>
      <c r="C1047" t="s">
        <v>1483</v>
      </c>
      <c r="D1047" s="64">
        <f>VLOOKUP(C1047,'CHAS - Cook Co'!$C$1:$J$2762,2,FALSE) - VLOOKUP(C1047,'CHAS - Chicago'!$C$1:$J$2762,2,FALSE)</f>
        <v>8325</v>
      </c>
      <c r="E1047" t="s">
        <v>366</v>
      </c>
      <c r="F1047" s="71" t="s">
        <v>367</v>
      </c>
      <c r="G1047" s="71" t="s">
        <v>1467</v>
      </c>
      <c r="H1047" s="71" t="s">
        <v>1401</v>
      </c>
      <c r="I1047" s="71" t="s">
        <v>1374</v>
      </c>
    </row>
    <row r="1048" spans="1:9" ht="43.5" x14ac:dyDescent="0.35">
      <c r="A1048">
        <v>7</v>
      </c>
      <c r="B1048">
        <v>98</v>
      </c>
      <c r="C1048" t="s">
        <v>1484</v>
      </c>
      <c r="D1048" s="64">
        <f>VLOOKUP(C1048,'CHAS - Cook Co'!$C$1:$J$2762,2,FALSE) - VLOOKUP(C1048,'CHAS - Chicago'!$C$1:$J$2762,2,FALSE)</f>
        <v>6360</v>
      </c>
      <c r="E1048" t="s">
        <v>373</v>
      </c>
      <c r="F1048" s="71" t="s">
        <v>367</v>
      </c>
      <c r="G1048" s="71" t="s">
        <v>1467</v>
      </c>
      <c r="H1048" s="71" t="s">
        <v>1401</v>
      </c>
      <c r="I1048" s="71" t="s">
        <v>1381</v>
      </c>
    </row>
    <row r="1049" spans="1:9" ht="43.5" x14ac:dyDescent="0.35">
      <c r="A1049">
        <v>7</v>
      </c>
      <c r="B1049">
        <v>99</v>
      </c>
      <c r="C1049" t="s">
        <v>1485</v>
      </c>
      <c r="D1049" s="64">
        <f>VLOOKUP(C1049,'CHAS - Cook Co'!$C$1:$J$2762,2,FALSE) - VLOOKUP(C1049,'CHAS - Chicago'!$C$1:$J$2762,2,FALSE)</f>
        <v>1505</v>
      </c>
      <c r="E1049" t="s">
        <v>373</v>
      </c>
      <c r="F1049" s="71" t="s">
        <v>367</v>
      </c>
      <c r="G1049" s="71" t="s">
        <v>1467</v>
      </c>
      <c r="H1049" s="71" t="s">
        <v>1401</v>
      </c>
      <c r="I1049" s="71" t="s">
        <v>1383</v>
      </c>
    </row>
    <row r="1050" spans="1:9" ht="43.5" x14ac:dyDescent="0.35">
      <c r="A1050">
        <v>7</v>
      </c>
      <c r="B1050">
        <v>100</v>
      </c>
      <c r="C1050" t="s">
        <v>1486</v>
      </c>
      <c r="D1050" s="64">
        <f>VLOOKUP(C1050,'CHAS - Cook Co'!$C$1:$J$2762,2,FALSE) - VLOOKUP(C1050,'CHAS - Chicago'!$C$1:$J$2762,2,FALSE)</f>
        <v>465</v>
      </c>
      <c r="E1050" t="s">
        <v>373</v>
      </c>
      <c r="F1050" s="71" t="s">
        <v>367</v>
      </c>
      <c r="G1050" s="71" t="s">
        <v>1467</v>
      </c>
      <c r="H1050" s="71" t="s">
        <v>1401</v>
      </c>
      <c r="I1050" s="71" t="s">
        <v>1385</v>
      </c>
    </row>
    <row r="1051" spans="1:9" ht="43.5" x14ac:dyDescent="0.35">
      <c r="A1051">
        <v>7</v>
      </c>
      <c r="B1051">
        <v>101</v>
      </c>
      <c r="C1051" t="s">
        <v>1487</v>
      </c>
      <c r="D1051" s="64">
        <f>VLOOKUP(C1051,'CHAS - Cook Co'!$C$1:$J$2762,2,FALSE) - VLOOKUP(C1051,'CHAS - Chicago'!$C$1:$J$2762,2,FALSE)</f>
        <v>0</v>
      </c>
      <c r="E1051" t="s">
        <v>373</v>
      </c>
      <c r="F1051" s="71" t="s">
        <v>367</v>
      </c>
      <c r="G1051" s="71" t="s">
        <v>1467</v>
      </c>
      <c r="H1051" s="71" t="s">
        <v>1401</v>
      </c>
      <c r="I1051" s="71" t="s">
        <v>1387</v>
      </c>
    </row>
    <row r="1052" spans="1:9" ht="43.5" x14ac:dyDescent="0.35">
      <c r="A1052">
        <v>7</v>
      </c>
      <c r="B1052">
        <v>102</v>
      </c>
      <c r="C1052" t="s">
        <v>1488</v>
      </c>
      <c r="D1052" s="64">
        <f>VLOOKUP(C1052,'CHAS - Cook Co'!$C$1:$J$2762,2,FALSE) - VLOOKUP(C1052,'CHAS - Chicago'!$C$1:$J$2762,2,FALSE)</f>
        <v>9840</v>
      </c>
      <c r="E1052" t="s">
        <v>366</v>
      </c>
      <c r="F1052" s="71" t="s">
        <v>367</v>
      </c>
      <c r="G1052" s="71" t="s">
        <v>1467</v>
      </c>
      <c r="H1052" s="71" t="s">
        <v>1407</v>
      </c>
      <c r="I1052" s="71" t="s">
        <v>1374</v>
      </c>
    </row>
    <row r="1053" spans="1:9" ht="43.5" x14ac:dyDescent="0.35">
      <c r="A1053">
        <v>7</v>
      </c>
      <c r="B1053">
        <v>103</v>
      </c>
      <c r="C1053" t="s">
        <v>1489</v>
      </c>
      <c r="D1053" s="64">
        <f>VLOOKUP(C1053,'CHAS - Cook Co'!$C$1:$J$2762,2,FALSE) - VLOOKUP(C1053,'CHAS - Chicago'!$C$1:$J$2762,2,FALSE)</f>
        <v>6195</v>
      </c>
      <c r="E1053" t="s">
        <v>373</v>
      </c>
      <c r="F1053" s="71" t="s">
        <v>367</v>
      </c>
      <c r="G1053" s="71" t="s">
        <v>1467</v>
      </c>
      <c r="H1053" s="71" t="s">
        <v>1407</v>
      </c>
      <c r="I1053" s="71" t="s">
        <v>1381</v>
      </c>
    </row>
    <row r="1054" spans="1:9" ht="43.5" x14ac:dyDescent="0.35">
      <c r="A1054">
        <v>7</v>
      </c>
      <c r="B1054">
        <v>104</v>
      </c>
      <c r="C1054" t="s">
        <v>1490</v>
      </c>
      <c r="D1054" s="64">
        <f>VLOOKUP(C1054,'CHAS - Cook Co'!$C$1:$J$2762,2,FALSE) - VLOOKUP(C1054,'CHAS - Chicago'!$C$1:$J$2762,2,FALSE)</f>
        <v>3035</v>
      </c>
      <c r="E1054" t="s">
        <v>373</v>
      </c>
      <c r="F1054" s="71" t="s">
        <v>367</v>
      </c>
      <c r="G1054" s="71" t="s">
        <v>1467</v>
      </c>
      <c r="H1054" s="71" t="s">
        <v>1407</v>
      </c>
      <c r="I1054" s="71" t="s">
        <v>1383</v>
      </c>
    </row>
    <row r="1055" spans="1:9" ht="43.5" x14ac:dyDescent="0.35">
      <c r="A1055">
        <v>7</v>
      </c>
      <c r="B1055">
        <v>105</v>
      </c>
      <c r="C1055" t="s">
        <v>1491</v>
      </c>
      <c r="D1055" s="64">
        <f>VLOOKUP(C1055,'CHAS - Cook Co'!$C$1:$J$2762,2,FALSE) - VLOOKUP(C1055,'CHAS - Chicago'!$C$1:$J$2762,2,FALSE)</f>
        <v>610</v>
      </c>
      <c r="E1055" t="s">
        <v>373</v>
      </c>
      <c r="F1055" s="71" t="s">
        <v>367</v>
      </c>
      <c r="G1055" s="71" t="s">
        <v>1467</v>
      </c>
      <c r="H1055" s="71" t="s">
        <v>1407</v>
      </c>
      <c r="I1055" s="71" t="s">
        <v>1385</v>
      </c>
    </row>
    <row r="1056" spans="1:9" ht="43.5" x14ac:dyDescent="0.35">
      <c r="A1056">
        <v>7</v>
      </c>
      <c r="B1056">
        <v>106</v>
      </c>
      <c r="C1056" t="s">
        <v>1492</v>
      </c>
      <c r="D1056" s="64">
        <f>VLOOKUP(C1056,'CHAS - Cook Co'!$C$1:$J$2762,2,FALSE) - VLOOKUP(C1056,'CHAS - Chicago'!$C$1:$J$2762,2,FALSE)</f>
        <v>0</v>
      </c>
      <c r="E1056" t="s">
        <v>373</v>
      </c>
      <c r="F1056" s="71" t="s">
        <v>367</v>
      </c>
      <c r="G1056" s="71" t="s">
        <v>1467</v>
      </c>
      <c r="H1056" s="71" t="s">
        <v>1407</v>
      </c>
      <c r="I1056" s="71" t="s">
        <v>1387</v>
      </c>
    </row>
    <row r="1057" spans="1:9" ht="43.5" x14ac:dyDescent="0.35">
      <c r="A1057">
        <v>7</v>
      </c>
      <c r="B1057">
        <v>107</v>
      </c>
      <c r="C1057" t="s">
        <v>1493</v>
      </c>
      <c r="D1057" s="64">
        <f>VLOOKUP(C1057,'CHAS - Cook Co'!$C$1:$J$2762,2,FALSE) - VLOOKUP(C1057,'CHAS - Chicago'!$C$1:$J$2762,2,FALSE)</f>
        <v>351605</v>
      </c>
      <c r="E1057" t="s">
        <v>366</v>
      </c>
      <c r="F1057" s="71" t="s">
        <v>367</v>
      </c>
      <c r="G1057" s="71" t="s">
        <v>1494</v>
      </c>
      <c r="H1057" s="71" t="s">
        <v>982</v>
      </c>
      <c r="I1057" s="71" t="s">
        <v>1374</v>
      </c>
    </row>
    <row r="1058" spans="1:9" ht="43.5" x14ac:dyDescent="0.35">
      <c r="A1058">
        <v>7</v>
      </c>
      <c r="B1058">
        <v>108</v>
      </c>
      <c r="C1058" t="s">
        <v>1495</v>
      </c>
      <c r="D1058" s="64">
        <f>VLOOKUP(C1058,'CHAS - Cook Co'!$C$1:$J$2762,2,FALSE) - VLOOKUP(C1058,'CHAS - Chicago'!$C$1:$J$2762,2,FALSE)</f>
        <v>57995</v>
      </c>
      <c r="E1058" t="s">
        <v>366</v>
      </c>
      <c r="F1058" s="71" t="s">
        <v>367</v>
      </c>
      <c r="G1058" s="71" t="s">
        <v>1494</v>
      </c>
      <c r="H1058" s="71" t="s">
        <v>1379</v>
      </c>
      <c r="I1058" s="71" t="s">
        <v>1374</v>
      </c>
    </row>
    <row r="1059" spans="1:9" ht="43.5" x14ac:dyDescent="0.35">
      <c r="A1059">
        <v>7</v>
      </c>
      <c r="B1059">
        <v>109</v>
      </c>
      <c r="C1059" t="s">
        <v>1496</v>
      </c>
      <c r="D1059" s="64">
        <f>VLOOKUP(C1059,'CHAS - Cook Co'!$C$1:$J$2762,2,FALSE) - VLOOKUP(C1059,'CHAS - Chicago'!$C$1:$J$2762,2,FALSE)</f>
        <v>52740</v>
      </c>
      <c r="E1059" t="s">
        <v>373</v>
      </c>
      <c r="F1059" s="71" t="s">
        <v>367</v>
      </c>
      <c r="G1059" s="71" t="s">
        <v>1494</v>
      </c>
      <c r="H1059" s="71" t="s">
        <v>1379</v>
      </c>
      <c r="I1059" s="71" t="s">
        <v>1381</v>
      </c>
    </row>
    <row r="1060" spans="1:9" ht="43.5" x14ac:dyDescent="0.35">
      <c r="A1060">
        <v>7</v>
      </c>
      <c r="B1060">
        <v>110</v>
      </c>
      <c r="C1060" t="s">
        <v>1497</v>
      </c>
      <c r="D1060" s="64">
        <f>VLOOKUP(C1060,'CHAS - Cook Co'!$C$1:$J$2762,2,FALSE) - VLOOKUP(C1060,'CHAS - Chicago'!$C$1:$J$2762,2,FALSE)</f>
        <v>4545</v>
      </c>
      <c r="E1060" t="s">
        <v>373</v>
      </c>
      <c r="F1060" s="71" t="s">
        <v>367</v>
      </c>
      <c r="G1060" s="71" t="s">
        <v>1494</v>
      </c>
      <c r="H1060" s="71" t="s">
        <v>1379</v>
      </c>
      <c r="I1060" s="71" t="s">
        <v>1383</v>
      </c>
    </row>
    <row r="1061" spans="1:9" ht="43.5" x14ac:dyDescent="0.35">
      <c r="A1061">
        <v>7</v>
      </c>
      <c r="B1061">
        <v>111</v>
      </c>
      <c r="C1061" t="s">
        <v>1498</v>
      </c>
      <c r="D1061" s="64">
        <f>VLOOKUP(C1061,'CHAS - Cook Co'!$C$1:$J$2762,2,FALSE) - VLOOKUP(C1061,'CHAS - Chicago'!$C$1:$J$2762,2,FALSE)</f>
        <v>710</v>
      </c>
      <c r="E1061" t="s">
        <v>373</v>
      </c>
      <c r="F1061" s="71" t="s">
        <v>367</v>
      </c>
      <c r="G1061" s="71" t="s">
        <v>1494</v>
      </c>
      <c r="H1061" s="71" t="s">
        <v>1379</v>
      </c>
      <c r="I1061" s="71" t="s">
        <v>1385</v>
      </c>
    </row>
    <row r="1062" spans="1:9" ht="43.5" x14ac:dyDescent="0.35">
      <c r="A1062">
        <v>7</v>
      </c>
      <c r="B1062">
        <v>112</v>
      </c>
      <c r="C1062" t="s">
        <v>1499</v>
      </c>
      <c r="D1062" s="64">
        <f>VLOOKUP(C1062,'CHAS - Cook Co'!$C$1:$J$2762,2,FALSE) - VLOOKUP(C1062,'CHAS - Chicago'!$C$1:$J$2762,2,FALSE)</f>
        <v>0</v>
      </c>
      <c r="E1062" t="s">
        <v>373</v>
      </c>
      <c r="F1062" s="71" t="s">
        <v>367</v>
      </c>
      <c r="G1062" s="71" t="s">
        <v>1494</v>
      </c>
      <c r="H1062" s="71" t="s">
        <v>1379</v>
      </c>
      <c r="I1062" s="71" t="s">
        <v>1387</v>
      </c>
    </row>
    <row r="1063" spans="1:9" ht="58" x14ac:dyDescent="0.35">
      <c r="A1063">
        <v>7</v>
      </c>
      <c r="B1063">
        <v>113</v>
      </c>
      <c r="C1063" t="s">
        <v>1500</v>
      </c>
      <c r="D1063" s="64">
        <f>VLOOKUP(C1063,'CHAS - Cook Co'!$C$1:$J$2762,2,FALSE) - VLOOKUP(C1063,'CHAS - Chicago'!$C$1:$J$2762,2,FALSE)</f>
        <v>194045</v>
      </c>
      <c r="E1063" t="s">
        <v>366</v>
      </c>
      <c r="F1063" s="71" t="s">
        <v>367</v>
      </c>
      <c r="G1063" s="71" t="s">
        <v>1494</v>
      </c>
      <c r="H1063" s="71" t="s">
        <v>1389</v>
      </c>
      <c r="I1063" s="71" t="s">
        <v>1374</v>
      </c>
    </row>
    <row r="1064" spans="1:9" ht="58" x14ac:dyDescent="0.35">
      <c r="A1064">
        <v>7</v>
      </c>
      <c r="B1064">
        <v>114</v>
      </c>
      <c r="C1064" t="s">
        <v>1501</v>
      </c>
      <c r="D1064" s="64">
        <f>VLOOKUP(C1064,'CHAS - Cook Co'!$C$1:$J$2762,2,FALSE) - VLOOKUP(C1064,'CHAS - Chicago'!$C$1:$J$2762,2,FALSE)</f>
        <v>177360</v>
      </c>
      <c r="E1064" t="s">
        <v>373</v>
      </c>
      <c r="F1064" s="71" t="s">
        <v>367</v>
      </c>
      <c r="G1064" s="71" t="s">
        <v>1494</v>
      </c>
      <c r="H1064" s="71" t="s">
        <v>1389</v>
      </c>
      <c r="I1064" s="71" t="s">
        <v>1381</v>
      </c>
    </row>
    <row r="1065" spans="1:9" ht="58" x14ac:dyDescent="0.35">
      <c r="A1065">
        <v>7</v>
      </c>
      <c r="B1065">
        <v>115</v>
      </c>
      <c r="C1065" t="s">
        <v>1502</v>
      </c>
      <c r="D1065" s="64">
        <f>VLOOKUP(C1065,'CHAS - Cook Co'!$C$1:$J$2762,2,FALSE) - VLOOKUP(C1065,'CHAS - Chicago'!$C$1:$J$2762,2,FALSE)</f>
        <v>14700</v>
      </c>
      <c r="E1065" t="s">
        <v>373</v>
      </c>
      <c r="F1065" s="71" t="s">
        <v>367</v>
      </c>
      <c r="G1065" s="71" t="s">
        <v>1494</v>
      </c>
      <c r="H1065" s="71" t="s">
        <v>1389</v>
      </c>
      <c r="I1065" s="71" t="s">
        <v>1383</v>
      </c>
    </row>
    <row r="1066" spans="1:9" ht="58" x14ac:dyDescent="0.35">
      <c r="A1066">
        <v>7</v>
      </c>
      <c r="B1066">
        <v>116</v>
      </c>
      <c r="C1066" t="s">
        <v>1503</v>
      </c>
      <c r="D1066" s="64">
        <f>VLOOKUP(C1066,'CHAS - Cook Co'!$C$1:$J$2762,2,FALSE) - VLOOKUP(C1066,'CHAS - Chicago'!$C$1:$J$2762,2,FALSE)</f>
        <v>1980</v>
      </c>
      <c r="E1066" t="s">
        <v>373</v>
      </c>
      <c r="F1066" s="71" t="s">
        <v>367</v>
      </c>
      <c r="G1066" s="71" t="s">
        <v>1494</v>
      </c>
      <c r="H1066" s="71" t="s">
        <v>1389</v>
      </c>
      <c r="I1066" s="71" t="s">
        <v>1385</v>
      </c>
    </row>
    <row r="1067" spans="1:9" ht="58" x14ac:dyDescent="0.35">
      <c r="A1067">
        <v>7</v>
      </c>
      <c r="B1067">
        <v>117</v>
      </c>
      <c r="C1067" t="s">
        <v>1504</v>
      </c>
      <c r="D1067" s="64">
        <f>VLOOKUP(C1067,'CHAS - Cook Co'!$C$1:$J$2762,2,FALSE) - VLOOKUP(C1067,'CHAS - Chicago'!$C$1:$J$2762,2,FALSE)</f>
        <v>0</v>
      </c>
      <c r="E1067" t="s">
        <v>373</v>
      </c>
      <c r="F1067" s="71" t="s">
        <v>367</v>
      </c>
      <c r="G1067" s="71" t="s">
        <v>1494</v>
      </c>
      <c r="H1067" s="71" t="s">
        <v>1389</v>
      </c>
      <c r="I1067" s="71" t="s">
        <v>1387</v>
      </c>
    </row>
    <row r="1068" spans="1:9" ht="43.5" x14ac:dyDescent="0.35">
      <c r="A1068">
        <v>7</v>
      </c>
      <c r="B1068">
        <v>118</v>
      </c>
      <c r="C1068" t="s">
        <v>1505</v>
      </c>
      <c r="D1068" s="64">
        <f>VLOOKUP(C1068,'CHAS - Cook Co'!$C$1:$J$2762,2,FALSE) - VLOOKUP(C1068,'CHAS - Chicago'!$C$1:$J$2762,2,FALSE)</f>
        <v>40385</v>
      </c>
      <c r="E1068" t="s">
        <v>366</v>
      </c>
      <c r="F1068" s="71" t="s">
        <v>367</v>
      </c>
      <c r="G1068" s="71" t="s">
        <v>1494</v>
      </c>
      <c r="H1068" s="71" t="s">
        <v>1395</v>
      </c>
      <c r="I1068" s="71" t="s">
        <v>1374</v>
      </c>
    </row>
    <row r="1069" spans="1:9" ht="43.5" x14ac:dyDescent="0.35">
      <c r="A1069">
        <v>7</v>
      </c>
      <c r="B1069">
        <v>119</v>
      </c>
      <c r="C1069" t="s">
        <v>1506</v>
      </c>
      <c r="D1069" s="64">
        <f>VLOOKUP(C1069,'CHAS - Cook Co'!$C$1:$J$2762,2,FALSE) - VLOOKUP(C1069,'CHAS - Chicago'!$C$1:$J$2762,2,FALSE)</f>
        <v>36590</v>
      </c>
      <c r="E1069" t="s">
        <v>373</v>
      </c>
      <c r="F1069" s="71" t="s">
        <v>367</v>
      </c>
      <c r="G1069" s="71" t="s">
        <v>1494</v>
      </c>
      <c r="H1069" s="71" t="s">
        <v>1395</v>
      </c>
      <c r="I1069" s="71" t="s">
        <v>1381</v>
      </c>
    </row>
    <row r="1070" spans="1:9" ht="43.5" x14ac:dyDescent="0.35">
      <c r="A1070">
        <v>7</v>
      </c>
      <c r="B1070">
        <v>120</v>
      </c>
      <c r="C1070" t="s">
        <v>1507</v>
      </c>
      <c r="D1070" s="64">
        <f>VLOOKUP(C1070,'CHAS - Cook Co'!$C$1:$J$2762,2,FALSE) - VLOOKUP(C1070,'CHAS - Chicago'!$C$1:$J$2762,2,FALSE)</f>
        <v>3225</v>
      </c>
      <c r="E1070" t="s">
        <v>373</v>
      </c>
      <c r="F1070" s="71" t="s">
        <v>367</v>
      </c>
      <c r="G1070" s="71" t="s">
        <v>1494</v>
      </c>
      <c r="H1070" s="71" t="s">
        <v>1395</v>
      </c>
      <c r="I1070" s="71" t="s">
        <v>1383</v>
      </c>
    </row>
    <row r="1071" spans="1:9" ht="43.5" x14ac:dyDescent="0.35">
      <c r="A1071">
        <v>7</v>
      </c>
      <c r="B1071">
        <v>121</v>
      </c>
      <c r="C1071" t="s">
        <v>1508</v>
      </c>
      <c r="D1071" s="64">
        <f>VLOOKUP(C1071,'CHAS - Cook Co'!$C$1:$J$2762,2,FALSE) - VLOOKUP(C1071,'CHAS - Chicago'!$C$1:$J$2762,2,FALSE)</f>
        <v>565</v>
      </c>
      <c r="E1071" t="s">
        <v>373</v>
      </c>
      <c r="F1071" s="71" t="s">
        <v>367</v>
      </c>
      <c r="G1071" s="71" t="s">
        <v>1494</v>
      </c>
      <c r="H1071" s="71" t="s">
        <v>1395</v>
      </c>
      <c r="I1071" s="71" t="s">
        <v>1385</v>
      </c>
    </row>
    <row r="1072" spans="1:9" ht="43.5" x14ac:dyDescent="0.35">
      <c r="A1072">
        <v>7</v>
      </c>
      <c r="B1072">
        <v>122</v>
      </c>
      <c r="C1072" t="s">
        <v>1509</v>
      </c>
      <c r="D1072" s="64">
        <f>VLOOKUP(C1072,'CHAS - Cook Co'!$C$1:$J$2762,2,FALSE) - VLOOKUP(C1072,'CHAS - Chicago'!$C$1:$J$2762,2,FALSE)</f>
        <v>0</v>
      </c>
      <c r="E1072" t="s">
        <v>373</v>
      </c>
      <c r="F1072" s="71" t="s">
        <v>367</v>
      </c>
      <c r="G1072" s="71" t="s">
        <v>1494</v>
      </c>
      <c r="H1072" s="71" t="s">
        <v>1395</v>
      </c>
      <c r="I1072" s="71" t="s">
        <v>1387</v>
      </c>
    </row>
    <row r="1073" spans="1:9" ht="43.5" x14ac:dyDescent="0.35">
      <c r="A1073">
        <v>7</v>
      </c>
      <c r="B1073">
        <v>123</v>
      </c>
      <c r="C1073" t="s">
        <v>1510</v>
      </c>
      <c r="D1073" s="64">
        <f>VLOOKUP(C1073,'CHAS - Cook Co'!$C$1:$J$2762,2,FALSE) - VLOOKUP(C1073,'CHAS - Chicago'!$C$1:$J$2762,2,FALSE)</f>
        <v>21115</v>
      </c>
      <c r="E1073" t="s">
        <v>366</v>
      </c>
      <c r="F1073" s="71" t="s">
        <v>367</v>
      </c>
      <c r="G1073" s="71" t="s">
        <v>1494</v>
      </c>
      <c r="H1073" s="71" t="s">
        <v>1401</v>
      </c>
      <c r="I1073" s="71" t="s">
        <v>1374</v>
      </c>
    </row>
    <row r="1074" spans="1:9" ht="43.5" x14ac:dyDescent="0.35">
      <c r="A1074">
        <v>7</v>
      </c>
      <c r="B1074">
        <v>124</v>
      </c>
      <c r="C1074" t="s">
        <v>1511</v>
      </c>
      <c r="D1074" s="64">
        <f>VLOOKUP(C1074,'CHAS - Cook Co'!$C$1:$J$2762,2,FALSE) - VLOOKUP(C1074,'CHAS - Chicago'!$C$1:$J$2762,2,FALSE)</f>
        <v>19075</v>
      </c>
      <c r="E1074" t="s">
        <v>373</v>
      </c>
      <c r="F1074" s="71" t="s">
        <v>367</v>
      </c>
      <c r="G1074" s="71" t="s">
        <v>1494</v>
      </c>
      <c r="H1074" s="71" t="s">
        <v>1401</v>
      </c>
      <c r="I1074" s="71" t="s">
        <v>1381</v>
      </c>
    </row>
    <row r="1075" spans="1:9" ht="43.5" x14ac:dyDescent="0.35">
      <c r="A1075">
        <v>7</v>
      </c>
      <c r="B1075">
        <v>125</v>
      </c>
      <c r="C1075" t="s">
        <v>1512</v>
      </c>
      <c r="D1075" s="64">
        <f>VLOOKUP(C1075,'CHAS - Cook Co'!$C$1:$J$2762,2,FALSE) - VLOOKUP(C1075,'CHAS - Chicago'!$C$1:$J$2762,2,FALSE)</f>
        <v>1745</v>
      </c>
      <c r="E1075" t="s">
        <v>373</v>
      </c>
      <c r="F1075" s="71" t="s">
        <v>367</v>
      </c>
      <c r="G1075" s="71" t="s">
        <v>1494</v>
      </c>
      <c r="H1075" s="71" t="s">
        <v>1401</v>
      </c>
      <c r="I1075" s="71" t="s">
        <v>1383</v>
      </c>
    </row>
    <row r="1076" spans="1:9" ht="43.5" x14ac:dyDescent="0.35">
      <c r="A1076">
        <v>7</v>
      </c>
      <c r="B1076">
        <v>126</v>
      </c>
      <c r="C1076" t="s">
        <v>1513</v>
      </c>
      <c r="D1076" s="64">
        <f>VLOOKUP(C1076,'CHAS - Cook Co'!$C$1:$J$2762,2,FALSE) - VLOOKUP(C1076,'CHAS - Chicago'!$C$1:$J$2762,2,FALSE)</f>
        <v>295</v>
      </c>
      <c r="E1076" t="s">
        <v>373</v>
      </c>
      <c r="F1076" s="71" t="s">
        <v>367</v>
      </c>
      <c r="G1076" s="71" t="s">
        <v>1494</v>
      </c>
      <c r="H1076" s="71" t="s">
        <v>1401</v>
      </c>
      <c r="I1076" s="71" t="s">
        <v>1385</v>
      </c>
    </row>
    <row r="1077" spans="1:9" ht="43.5" x14ac:dyDescent="0.35">
      <c r="A1077">
        <v>7</v>
      </c>
      <c r="B1077">
        <v>127</v>
      </c>
      <c r="C1077" t="s">
        <v>1514</v>
      </c>
      <c r="D1077" s="64">
        <f>VLOOKUP(C1077,'CHAS - Cook Co'!$C$1:$J$2762,2,FALSE) - VLOOKUP(C1077,'CHAS - Chicago'!$C$1:$J$2762,2,FALSE)</f>
        <v>0</v>
      </c>
      <c r="E1077" t="s">
        <v>373</v>
      </c>
      <c r="F1077" s="71" t="s">
        <v>367</v>
      </c>
      <c r="G1077" s="71" t="s">
        <v>1494</v>
      </c>
      <c r="H1077" s="71" t="s">
        <v>1401</v>
      </c>
      <c r="I1077" s="71" t="s">
        <v>1387</v>
      </c>
    </row>
    <row r="1078" spans="1:9" ht="43.5" x14ac:dyDescent="0.35">
      <c r="A1078">
        <v>7</v>
      </c>
      <c r="B1078">
        <v>128</v>
      </c>
      <c r="C1078" t="s">
        <v>1515</v>
      </c>
      <c r="D1078" s="64">
        <f>VLOOKUP(C1078,'CHAS - Cook Co'!$C$1:$J$2762,2,FALSE) - VLOOKUP(C1078,'CHAS - Chicago'!$C$1:$J$2762,2,FALSE)</f>
        <v>38060</v>
      </c>
      <c r="E1078" t="s">
        <v>366</v>
      </c>
      <c r="F1078" s="71" t="s">
        <v>367</v>
      </c>
      <c r="G1078" s="71" t="s">
        <v>1494</v>
      </c>
      <c r="H1078" s="71" t="s">
        <v>1407</v>
      </c>
      <c r="I1078" s="71" t="s">
        <v>1374</v>
      </c>
    </row>
    <row r="1079" spans="1:9" ht="43.5" x14ac:dyDescent="0.35">
      <c r="A1079">
        <v>7</v>
      </c>
      <c r="B1079">
        <v>129</v>
      </c>
      <c r="C1079" t="s">
        <v>1516</v>
      </c>
      <c r="D1079" s="64">
        <f>VLOOKUP(C1079,'CHAS - Cook Co'!$C$1:$J$2762,2,FALSE) - VLOOKUP(C1079,'CHAS - Chicago'!$C$1:$J$2762,2,FALSE)</f>
        <v>33040</v>
      </c>
      <c r="E1079" t="s">
        <v>373</v>
      </c>
      <c r="F1079" s="71" t="s">
        <v>367</v>
      </c>
      <c r="G1079" s="71" t="s">
        <v>1494</v>
      </c>
      <c r="H1079" s="71" t="s">
        <v>1407</v>
      </c>
      <c r="I1079" s="71" t="s">
        <v>1381</v>
      </c>
    </row>
    <row r="1080" spans="1:9" ht="43.5" x14ac:dyDescent="0.35">
      <c r="A1080">
        <v>7</v>
      </c>
      <c r="B1080">
        <v>130</v>
      </c>
      <c r="C1080" t="s">
        <v>1517</v>
      </c>
      <c r="D1080" s="64">
        <f>VLOOKUP(C1080,'CHAS - Cook Co'!$C$1:$J$2762,2,FALSE) - VLOOKUP(C1080,'CHAS - Chicago'!$C$1:$J$2762,2,FALSE)</f>
        <v>4495</v>
      </c>
      <c r="E1080" t="s">
        <v>373</v>
      </c>
      <c r="F1080" s="71" t="s">
        <v>367</v>
      </c>
      <c r="G1080" s="71" t="s">
        <v>1494</v>
      </c>
      <c r="H1080" s="71" t="s">
        <v>1407</v>
      </c>
      <c r="I1080" s="71" t="s">
        <v>1383</v>
      </c>
    </row>
    <row r="1081" spans="1:9" ht="43.5" x14ac:dyDescent="0.35">
      <c r="A1081">
        <v>7</v>
      </c>
      <c r="B1081">
        <v>131</v>
      </c>
      <c r="C1081" t="s">
        <v>1518</v>
      </c>
      <c r="D1081" s="64">
        <f>VLOOKUP(C1081,'CHAS - Cook Co'!$C$1:$J$2762,2,FALSE) - VLOOKUP(C1081,'CHAS - Chicago'!$C$1:$J$2762,2,FALSE)</f>
        <v>525</v>
      </c>
      <c r="E1081" t="s">
        <v>373</v>
      </c>
      <c r="F1081" s="71" t="s">
        <v>367</v>
      </c>
      <c r="G1081" s="71" t="s">
        <v>1494</v>
      </c>
      <c r="H1081" s="71" t="s">
        <v>1407</v>
      </c>
      <c r="I1081" s="71" t="s">
        <v>1385</v>
      </c>
    </row>
    <row r="1082" spans="1:9" ht="43.5" x14ac:dyDescent="0.35">
      <c r="A1082">
        <v>7</v>
      </c>
      <c r="B1082">
        <v>132</v>
      </c>
      <c r="C1082" t="s">
        <v>1519</v>
      </c>
      <c r="D1082" s="64">
        <f>VLOOKUP(C1082,'CHAS - Cook Co'!$C$1:$J$2762,2,FALSE) - VLOOKUP(C1082,'CHAS - Chicago'!$C$1:$J$2762,2,FALSE)</f>
        <v>0</v>
      </c>
      <c r="E1082" t="s">
        <v>373</v>
      </c>
      <c r="F1082" s="71" t="s">
        <v>367</v>
      </c>
      <c r="G1082" s="71" t="s">
        <v>1494</v>
      </c>
      <c r="H1082" s="71" t="s">
        <v>1407</v>
      </c>
      <c r="I1082" s="71" t="s">
        <v>1387</v>
      </c>
    </row>
    <row r="1083" spans="1:9" x14ac:dyDescent="0.35">
      <c r="A1083">
        <v>7</v>
      </c>
      <c r="B1083">
        <v>133</v>
      </c>
      <c r="C1083" t="s">
        <v>1520</v>
      </c>
      <c r="D1083" s="64">
        <f>VLOOKUP(C1083,'CHAS - Cook Co'!$C$1:$J$2762,2,FALSE) - VLOOKUP(C1083,'CHAS - Chicago'!$C$1:$J$2762,2,FALSE)</f>
        <v>263750</v>
      </c>
      <c r="E1083" t="s">
        <v>366</v>
      </c>
      <c r="F1083" s="71" t="s">
        <v>508</v>
      </c>
      <c r="G1083" s="71" t="s">
        <v>363</v>
      </c>
      <c r="H1083" s="71" t="s">
        <v>982</v>
      </c>
      <c r="I1083" s="71" t="s">
        <v>1374</v>
      </c>
    </row>
    <row r="1084" spans="1:9" ht="43.5" x14ac:dyDescent="0.35">
      <c r="A1084">
        <v>7</v>
      </c>
      <c r="B1084">
        <v>134</v>
      </c>
      <c r="C1084" t="s">
        <v>1521</v>
      </c>
      <c r="D1084" s="64">
        <f>VLOOKUP(C1084,'CHAS - Cook Co'!$C$1:$J$2762,2,FALSE) - VLOOKUP(C1084,'CHAS - Chicago'!$C$1:$J$2762,2,FALSE)</f>
        <v>71775</v>
      </c>
      <c r="E1084" t="s">
        <v>366</v>
      </c>
      <c r="F1084" s="71" t="s">
        <v>508</v>
      </c>
      <c r="G1084" s="71" t="s">
        <v>1377</v>
      </c>
      <c r="H1084" s="71" t="s">
        <v>982</v>
      </c>
      <c r="I1084" s="71" t="s">
        <v>1374</v>
      </c>
    </row>
    <row r="1085" spans="1:9" ht="43.5" x14ac:dyDescent="0.35">
      <c r="A1085">
        <v>7</v>
      </c>
      <c r="B1085">
        <v>135</v>
      </c>
      <c r="C1085" t="s">
        <v>1522</v>
      </c>
      <c r="D1085" s="64">
        <f>VLOOKUP(C1085,'CHAS - Cook Co'!$C$1:$J$2762,2,FALSE) - VLOOKUP(C1085,'CHAS - Chicago'!$C$1:$J$2762,2,FALSE)</f>
        <v>3080</v>
      </c>
      <c r="E1085" t="s">
        <v>366</v>
      </c>
      <c r="F1085" s="71" t="s">
        <v>508</v>
      </c>
      <c r="G1085" s="71" t="s">
        <v>1377</v>
      </c>
      <c r="H1085" s="71" t="s">
        <v>1379</v>
      </c>
      <c r="I1085" s="71" t="s">
        <v>1374</v>
      </c>
    </row>
    <row r="1086" spans="1:9" ht="43.5" x14ac:dyDescent="0.35">
      <c r="A1086">
        <v>7</v>
      </c>
      <c r="B1086">
        <v>136</v>
      </c>
      <c r="C1086" t="s">
        <v>1523</v>
      </c>
      <c r="D1086" s="64">
        <f>VLOOKUP(C1086,'CHAS - Cook Co'!$C$1:$J$2762,2,FALSE) - VLOOKUP(C1086,'CHAS - Chicago'!$C$1:$J$2762,2,FALSE)</f>
        <v>510</v>
      </c>
      <c r="E1086" t="s">
        <v>373</v>
      </c>
      <c r="F1086" s="71" t="s">
        <v>508</v>
      </c>
      <c r="G1086" s="71" t="s">
        <v>1377</v>
      </c>
      <c r="H1086" s="71" t="s">
        <v>1379</v>
      </c>
      <c r="I1086" s="71" t="s">
        <v>1381</v>
      </c>
    </row>
    <row r="1087" spans="1:9" ht="43.5" x14ac:dyDescent="0.35">
      <c r="A1087">
        <v>7</v>
      </c>
      <c r="B1087">
        <v>137</v>
      </c>
      <c r="C1087" t="s">
        <v>1524</v>
      </c>
      <c r="D1087" s="64">
        <f>VLOOKUP(C1087,'CHAS - Cook Co'!$C$1:$J$2762,2,FALSE) - VLOOKUP(C1087,'CHAS - Chicago'!$C$1:$J$2762,2,FALSE)</f>
        <v>375</v>
      </c>
      <c r="E1087" t="s">
        <v>373</v>
      </c>
      <c r="F1087" s="71" t="s">
        <v>508</v>
      </c>
      <c r="G1087" s="71" t="s">
        <v>1377</v>
      </c>
      <c r="H1087" s="71" t="s">
        <v>1379</v>
      </c>
      <c r="I1087" s="71" t="s">
        <v>1383</v>
      </c>
    </row>
    <row r="1088" spans="1:9" ht="43.5" x14ac:dyDescent="0.35">
      <c r="A1088">
        <v>7</v>
      </c>
      <c r="B1088">
        <v>138</v>
      </c>
      <c r="C1088" t="s">
        <v>1525</v>
      </c>
      <c r="D1088" s="64">
        <f>VLOOKUP(C1088,'CHAS - Cook Co'!$C$1:$J$2762,2,FALSE) - VLOOKUP(C1088,'CHAS - Chicago'!$C$1:$J$2762,2,FALSE)</f>
        <v>2010</v>
      </c>
      <c r="E1088" t="s">
        <v>373</v>
      </c>
      <c r="F1088" s="71" t="s">
        <v>508</v>
      </c>
      <c r="G1088" s="71" t="s">
        <v>1377</v>
      </c>
      <c r="H1088" s="71" t="s">
        <v>1379</v>
      </c>
      <c r="I1088" s="71" t="s">
        <v>1385</v>
      </c>
    </row>
    <row r="1089" spans="1:9" ht="43.5" x14ac:dyDescent="0.35">
      <c r="A1089">
        <v>7</v>
      </c>
      <c r="B1089">
        <v>139</v>
      </c>
      <c r="C1089" t="s">
        <v>1526</v>
      </c>
      <c r="D1089" s="64">
        <f>VLOOKUP(C1089,'CHAS - Cook Co'!$C$1:$J$2762,2,FALSE) - VLOOKUP(C1089,'CHAS - Chicago'!$C$1:$J$2762,2,FALSE)</f>
        <v>190</v>
      </c>
      <c r="E1089" t="s">
        <v>373</v>
      </c>
      <c r="F1089" s="71" t="s">
        <v>508</v>
      </c>
      <c r="G1089" s="71" t="s">
        <v>1377</v>
      </c>
      <c r="H1089" s="71" t="s">
        <v>1379</v>
      </c>
      <c r="I1089" s="71" t="s">
        <v>1387</v>
      </c>
    </row>
    <row r="1090" spans="1:9" ht="58" x14ac:dyDescent="0.35">
      <c r="A1090">
        <v>7</v>
      </c>
      <c r="B1090">
        <v>140</v>
      </c>
      <c r="C1090" t="s">
        <v>1527</v>
      </c>
      <c r="D1090" s="64">
        <f>VLOOKUP(C1090,'CHAS - Cook Co'!$C$1:$J$2762,2,FALSE) - VLOOKUP(C1090,'CHAS - Chicago'!$C$1:$J$2762,2,FALSE)</f>
        <v>23765</v>
      </c>
      <c r="E1090" t="s">
        <v>366</v>
      </c>
      <c r="F1090" s="71" t="s">
        <v>508</v>
      </c>
      <c r="G1090" s="71" t="s">
        <v>1377</v>
      </c>
      <c r="H1090" s="71" t="s">
        <v>1389</v>
      </c>
      <c r="I1090" s="71" t="s">
        <v>1374</v>
      </c>
    </row>
    <row r="1091" spans="1:9" ht="58" x14ac:dyDescent="0.35">
      <c r="A1091">
        <v>7</v>
      </c>
      <c r="B1091">
        <v>141</v>
      </c>
      <c r="C1091" t="s">
        <v>1528</v>
      </c>
      <c r="D1091" s="64">
        <f>VLOOKUP(C1091,'CHAS - Cook Co'!$C$1:$J$2762,2,FALSE) - VLOOKUP(C1091,'CHAS - Chicago'!$C$1:$J$2762,2,FALSE)</f>
        <v>1175</v>
      </c>
      <c r="E1091" t="s">
        <v>373</v>
      </c>
      <c r="F1091" s="71" t="s">
        <v>508</v>
      </c>
      <c r="G1091" s="71" t="s">
        <v>1377</v>
      </c>
      <c r="H1091" s="71" t="s">
        <v>1389</v>
      </c>
      <c r="I1091" s="71" t="s">
        <v>1381</v>
      </c>
    </row>
    <row r="1092" spans="1:9" ht="58" x14ac:dyDescent="0.35">
      <c r="A1092">
        <v>7</v>
      </c>
      <c r="B1092">
        <v>142</v>
      </c>
      <c r="C1092" t="s">
        <v>1529</v>
      </c>
      <c r="D1092" s="64">
        <f>VLOOKUP(C1092,'CHAS - Cook Co'!$C$1:$J$2762,2,FALSE) - VLOOKUP(C1092,'CHAS - Chicago'!$C$1:$J$2762,2,FALSE)</f>
        <v>2420</v>
      </c>
      <c r="E1092" t="s">
        <v>373</v>
      </c>
      <c r="F1092" s="71" t="s">
        <v>508</v>
      </c>
      <c r="G1092" s="71" t="s">
        <v>1377</v>
      </c>
      <c r="H1092" s="71" t="s">
        <v>1389</v>
      </c>
      <c r="I1092" s="71" t="s">
        <v>1383</v>
      </c>
    </row>
    <row r="1093" spans="1:9" ht="58" x14ac:dyDescent="0.35">
      <c r="A1093">
        <v>7</v>
      </c>
      <c r="B1093">
        <v>143</v>
      </c>
      <c r="C1093" t="s">
        <v>1530</v>
      </c>
      <c r="D1093" s="64">
        <f>VLOOKUP(C1093,'CHAS - Cook Co'!$C$1:$J$2762,2,FALSE) - VLOOKUP(C1093,'CHAS - Chicago'!$C$1:$J$2762,2,FALSE)</f>
        <v>17720</v>
      </c>
      <c r="E1093" t="s">
        <v>373</v>
      </c>
      <c r="F1093" s="71" t="s">
        <v>508</v>
      </c>
      <c r="G1093" s="71" t="s">
        <v>1377</v>
      </c>
      <c r="H1093" s="71" t="s">
        <v>1389</v>
      </c>
      <c r="I1093" s="71" t="s">
        <v>1385</v>
      </c>
    </row>
    <row r="1094" spans="1:9" ht="58" x14ac:dyDescent="0.35">
      <c r="A1094">
        <v>7</v>
      </c>
      <c r="B1094">
        <v>144</v>
      </c>
      <c r="C1094" t="s">
        <v>1531</v>
      </c>
      <c r="D1094" s="64">
        <f>VLOOKUP(C1094,'CHAS - Cook Co'!$C$1:$J$2762,2,FALSE) - VLOOKUP(C1094,'CHAS - Chicago'!$C$1:$J$2762,2,FALSE)</f>
        <v>2445</v>
      </c>
      <c r="E1094" t="s">
        <v>373</v>
      </c>
      <c r="F1094" s="71" t="s">
        <v>508</v>
      </c>
      <c r="G1094" s="71" t="s">
        <v>1377</v>
      </c>
      <c r="H1094" s="71" t="s">
        <v>1389</v>
      </c>
      <c r="I1094" s="71" t="s">
        <v>1387</v>
      </c>
    </row>
    <row r="1095" spans="1:9" ht="43.5" x14ac:dyDescent="0.35">
      <c r="A1095">
        <v>7</v>
      </c>
      <c r="B1095">
        <v>145</v>
      </c>
      <c r="C1095" t="s">
        <v>1532</v>
      </c>
      <c r="D1095" s="64">
        <f>VLOOKUP(C1095,'CHAS - Cook Co'!$C$1:$J$2762,2,FALSE) - VLOOKUP(C1095,'CHAS - Chicago'!$C$1:$J$2762,2,FALSE)</f>
        <v>7020</v>
      </c>
      <c r="E1095" t="s">
        <v>366</v>
      </c>
      <c r="F1095" s="71" t="s">
        <v>508</v>
      </c>
      <c r="G1095" s="71" t="s">
        <v>1377</v>
      </c>
      <c r="H1095" s="71" t="s">
        <v>1395</v>
      </c>
      <c r="I1095" s="71" t="s">
        <v>1374</v>
      </c>
    </row>
    <row r="1096" spans="1:9" ht="43.5" x14ac:dyDescent="0.35">
      <c r="A1096">
        <v>7</v>
      </c>
      <c r="B1096">
        <v>146</v>
      </c>
      <c r="C1096" t="s">
        <v>1533</v>
      </c>
      <c r="D1096" s="64">
        <f>VLOOKUP(C1096,'CHAS - Cook Co'!$C$1:$J$2762,2,FALSE) - VLOOKUP(C1096,'CHAS - Chicago'!$C$1:$J$2762,2,FALSE)</f>
        <v>430</v>
      </c>
      <c r="E1096" t="s">
        <v>373</v>
      </c>
      <c r="F1096" s="71" t="s">
        <v>508</v>
      </c>
      <c r="G1096" s="71" t="s">
        <v>1377</v>
      </c>
      <c r="H1096" s="71" t="s">
        <v>1395</v>
      </c>
      <c r="I1096" s="71" t="s">
        <v>1381</v>
      </c>
    </row>
    <row r="1097" spans="1:9" ht="43.5" x14ac:dyDescent="0.35">
      <c r="A1097">
        <v>7</v>
      </c>
      <c r="B1097">
        <v>147</v>
      </c>
      <c r="C1097" t="s">
        <v>1534</v>
      </c>
      <c r="D1097" s="64">
        <f>VLOOKUP(C1097,'CHAS - Cook Co'!$C$1:$J$2762,2,FALSE) - VLOOKUP(C1097,'CHAS - Chicago'!$C$1:$J$2762,2,FALSE)</f>
        <v>1305</v>
      </c>
      <c r="E1097" t="s">
        <v>373</v>
      </c>
      <c r="F1097" s="71" t="s">
        <v>508</v>
      </c>
      <c r="G1097" s="71" t="s">
        <v>1377</v>
      </c>
      <c r="H1097" s="71" t="s">
        <v>1395</v>
      </c>
      <c r="I1097" s="71" t="s">
        <v>1383</v>
      </c>
    </row>
    <row r="1098" spans="1:9" ht="43.5" x14ac:dyDescent="0.35">
      <c r="A1098">
        <v>7</v>
      </c>
      <c r="B1098">
        <v>148</v>
      </c>
      <c r="C1098" t="s">
        <v>1535</v>
      </c>
      <c r="D1098" s="64">
        <f>VLOOKUP(C1098,'CHAS - Cook Co'!$C$1:$J$2762,2,FALSE) - VLOOKUP(C1098,'CHAS - Chicago'!$C$1:$J$2762,2,FALSE)</f>
        <v>4900</v>
      </c>
      <c r="E1098" t="s">
        <v>373</v>
      </c>
      <c r="F1098" s="71" t="s">
        <v>508</v>
      </c>
      <c r="G1098" s="71" t="s">
        <v>1377</v>
      </c>
      <c r="H1098" s="71" t="s">
        <v>1395</v>
      </c>
      <c r="I1098" s="71" t="s">
        <v>1385</v>
      </c>
    </row>
    <row r="1099" spans="1:9" ht="43.5" x14ac:dyDescent="0.35">
      <c r="A1099">
        <v>7</v>
      </c>
      <c r="B1099">
        <v>149</v>
      </c>
      <c r="C1099" t="s">
        <v>1536</v>
      </c>
      <c r="D1099" s="64">
        <f>VLOOKUP(C1099,'CHAS - Cook Co'!$C$1:$J$2762,2,FALSE) - VLOOKUP(C1099,'CHAS - Chicago'!$C$1:$J$2762,2,FALSE)</f>
        <v>375</v>
      </c>
      <c r="E1099" t="s">
        <v>373</v>
      </c>
      <c r="F1099" s="71" t="s">
        <v>508</v>
      </c>
      <c r="G1099" s="71" t="s">
        <v>1377</v>
      </c>
      <c r="H1099" s="71" t="s">
        <v>1395</v>
      </c>
      <c r="I1099" s="71" t="s">
        <v>1387</v>
      </c>
    </row>
    <row r="1100" spans="1:9" ht="43.5" x14ac:dyDescent="0.35">
      <c r="A1100">
        <v>7</v>
      </c>
      <c r="B1100">
        <v>150</v>
      </c>
      <c r="C1100" t="s">
        <v>1537</v>
      </c>
      <c r="D1100" s="64">
        <f>VLOOKUP(C1100,'CHAS - Cook Co'!$C$1:$J$2762,2,FALSE) - VLOOKUP(C1100,'CHAS - Chicago'!$C$1:$J$2762,2,FALSE)</f>
        <v>15845</v>
      </c>
      <c r="E1100" t="s">
        <v>366</v>
      </c>
      <c r="F1100" s="71" t="s">
        <v>508</v>
      </c>
      <c r="G1100" s="71" t="s">
        <v>1377</v>
      </c>
      <c r="H1100" s="71" t="s">
        <v>1401</v>
      </c>
      <c r="I1100" s="71" t="s">
        <v>1374</v>
      </c>
    </row>
    <row r="1101" spans="1:9" ht="43.5" x14ac:dyDescent="0.35">
      <c r="A1101">
        <v>7</v>
      </c>
      <c r="B1101">
        <v>151</v>
      </c>
      <c r="C1101" t="s">
        <v>1538</v>
      </c>
      <c r="D1101" s="64">
        <f>VLOOKUP(C1101,'CHAS - Cook Co'!$C$1:$J$2762,2,FALSE) - VLOOKUP(C1101,'CHAS - Chicago'!$C$1:$J$2762,2,FALSE)</f>
        <v>3375</v>
      </c>
      <c r="E1101" t="s">
        <v>373</v>
      </c>
      <c r="F1101" s="71" t="s">
        <v>508</v>
      </c>
      <c r="G1101" s="71" t="s">
        <v>1377</v>
      </c>
      <c r="H1101" s="71" t="s">
        <v>1401</v>
      </c>
      <c r="I1101" s="71" t="s">
        <v>1381</v>
      </c>
    </row>
    <row r="1102" spans="1:9" ht="43.5" x14ac:dyDescent="0.35">
      <c r="A1102">
        <v>7</v>
      </c>
      <c r="B1102">
        <v>152</v>
      </c>
      <c r="C1102" t="s">
        <v>1539</v>
      </c>
      <c r="D1102" s="64">
        <f>VLOOKUP(C1102,'CHAS - Cook Co'!$C$1:$J$2762,2,FALSE) - VLOOKUP(C1102,'CHAS - Chicago'!$C$1:$J$2762,2,FALSE)</f>
        <v>1930</v>
      </c>
      <c r="E1102" t="s">
        <v>373</v>
      </c>
      <c r="F1102" s="71" t="s">
        <v>508</v>
      </c>
      <c r="G1102" s="71" t="s">
        <v>1377</v>
      </c>
      <c r="H1102" s="71" t="s">
        <v>1401</v>
      </c>
      <c r="I1102" s="71" t="s">
        <v>1383</v>
      </c>
    </row>
    <row r="1103" spans="1:9" ht="43.5" x14ac:dyDescent="0.35">
      <c r="A1103">
        <v>7</v>
      </c>
      <c r="B1103">
        <v>153</v>
      </c>
      <c r="C1103" t="s">
        <v>1540</v>
      </c>
      <c r="D1103" s="64">
        <f>VLOOKUP(C1103,'CHAS - Cook Co'!$C$1:$J$2762,2,FALSE) - VLOOKUP(C1103,'CHAS - Chicago'!$C$1:$J$2762,2,FALSE)</f>
        <v>9570</v>
      </c>
      <c r="E1103" t="s">
        <v>373</v>
      </c>
      <c r="F1103" s="71" t="s">
        <v>508</v>
      </c>
      <c r="G1103" s="71" t="s">
        <v>1377</v>
      </c>
      <c r="H1103" s="71" t="s">
        <v>1401</v>
      </c>
      <c r="I1103" s="71" t="s">
        <v>1385</v>
      </c>
    </row>
    <row r="1104" spans="1:9" ht="43.5" x14ac:dyDescent="0.35">
      <c r="A1104">
        <v>7</v>
      </c>
      <c r="B1104">
        <v>154</v>
      </c>
      <c r="C1104" t="s">
        <v>1541</v>
      </c>
      <c r="D1104" s="64">
        <f>VLOOKUP(C1104,'CHAS - Cook Co'!$C$1:$J$2762,2,FALSE) - VLOOKUP(C1104,'CHAS - Chicago'!$C$1:$J$2762,2,FALSE)</f>
        <v>975</v>
      </c>
      <c r="E1104" t="s">
        <v>373</v>
      </c>
      <c r="F1104" s="71" t="s">
        <v>508</v>
      </c>
      <c r="G1104" s="71" t="s">
        <v>1377</v>
      </c>
      <c r="H1104" s="71" t="s">
        <v>1401</v>
      </c>
      <c r="I1104" s="71" t="s">
        <v>1387</v>
      </c>
    </row>
    <row r="1105" spans="1:9" ht="43.5" x14ac:dyDescent="0.35">
      <c r="A1105">
        <v>7</v>
      </c>
      <c r="B1105">
        <v>155</v>
      </c>
      <c r="C1105" t="s">
        <v>1542</v>
      </c>
      <c r="D1105" s="64">
        <f>VLOOKUP(C1105,'CHAS - Cook Co'!$C$1:$J$2762,2,FALSE) - VLOOKUP(C1105,'CHAS - Chicago'!$C$1:$J$2762,2,FALSE)</f>
        <v>22060</v>
      </c>
      <c r="E1105" t="s">
        <v>366</v>
      </c>
      <c r="F1105" s="71" t="s">
        <v>508</v>
      </c>
      <c r="G1105" s="71" t="s">
        <v>1377</v>
      </c>
      <c r="H1105" s="71" t="s">
        <v>1407</v>
      </c>
      <c r="I1105" s="71" t="s">
        <v>1374</v>
      </c>
    </row>
    <row r="1106" spans="1:9" ht="43.5" x14ac:dyDescent="0.35">
      <c r="A1106">
        <v>7</v>
      </c>
      <c r="B1106">
        <v>156</v>
      </c>
      <c r="C1106" t="s">
        <v>1543</v>
      </c>
      <c r="D1106" s="64">
        <f>VLOOKUP(C1106,'CHAS - Cook Co'!$C$1:$J$2762,2,FALSE) - VLOOKUP(C1106,'CHAS - Chicago'!$C$1:$J$2762,2,FALSE)</f>
        <v>1680</v>
      </c>
      <c r="E1106" t="s">
        <v>373</v>
      </c>
      <c r="F1106" s="71" t="s">
        <v>508</v>
      </c>
      <c r="G1106" s="71" t="s">
        <v>1377</v>
      </c>
      <c r="H1106" s="71" t="s">
        <v>1407</v>
      </c>
      <c r="I1106" s="71" t="s">
        <v>1381</v>
      </c>
    </row>
    <row r="1107" spans="1:9" ht="43.5" x14ac:dyDescent="0.35">
      <c r="A1107">
        <v>7</v>
      </c>
      <c r="B1107">
        <v>157</v>
      </c>
      <c r="C1107" t="s">
        <v>1544</v>
      </c>
      <c r="D1107" s="64">
        <f>VLOOKUP(C1107,'CHAS - Cook Co'!$C$1:$J$2762,2,FALSE) - VLOOKUP(C1107,'CHAS - Chicago'!$C$1:$J$2762,2,FALSE)</f>
        <v>985</v>
      </c>
      <c r="E1107" t="s">
        <v>373</v>
      </c>
      <c r="F1107" s="71" t="s">
        <v>508</v>
      </c>
      <c r="G1107" s="71" t="s">
        <v>1377</v>
      </c>
      <c r="H1107" s="71" t="s">
        <v>1407</v>
      </c>
      <c r="I1107" s="71" t="s">
        <v>1383</v>
      </c>
    </row>
    <row r="1108" spans="1:9" ht="43.5" x14ac:dyDescent="0.35">
      <c r="A1108">
        <v>7</v>
      </c>
      <c r="B1108">
        <v>158</v>
      </c>
      <c r="C1108" t="s">
        <v>1545</v>
      </c>
      <c r="D1108" s="64">
        <f>VLOOKUP(C1108,'CHAS - Cook Co'!$C$1:$J$2762,2,FALSE) - VLOOKUP(C1108,'CHAS - Chicago'!$C$1:$J$2762,2,FALSE)</f>
        <v>14390</v>
      </c>
      <c r="E1108" t="s">
        <v>373</v>
      </c>
      <c r="F1108" s="71" t="s">
        <v>508</v>
      </c>
      <c r="G1108" s="71" t="s">
        <v>1377</v>
      </c>
      <c r="H1108" s="71" t="s">
        <v>1407</v>
      </c>
      <c r="I1108" s="71" t="s">
        <v>1385</v>
      </c>
    </row>
    <row r="1109" spans="1:9" ht="43.5" x14ac:dyDescent="0.35">
      <c r="A1109">
        <v>7</v>
      </c>
      <c r="B1109">
        <v>159</v>
      </c>
      <c r="C1109" t="s">
        <v>1546</v>
      </c>
      <c r="D1109" s="64">
        <f>VLOOKUP(C1109,'CHAS - Cook Co'!$C$1:$J$2762,2,FALSE) - VLOOKUP(C1109,'CHAS - Chicago'!$C$1:$J$2762,2,FALSE)</f>
        <v>4995</v>
      </c>
      <c r="E1109" t="s">
        <v>373</v>
      </c>
      <c r="F1109" s="71" t="s">
        <v>508</v>
      </c>
      <c r="G1109" s="71" t="s">
        <v>1377</v>
      </c>
      <c r="H1109" s="71" t="s">
        <v>1407</v>
      </c>
      <c r="I1109" s="71" t="s">
        <v>1387</v>
      </c>
    </row>
    <row r="1110" spans="1:9" ht="43.5" x14ac:dyDescent="0.35">
      <c r="A1110">
        <v>7</v>
      </c>
      <c r="B1110">
        <v>160</v>
      </c>
      <c r="C1110" t="s">
        <v>1547</v>
      </c>
      <c r="D1110" s="64">
        <f>VLOOKUP(C1110,'CHAS - Cook Co'!$C$1:$J$2762,2,FALSE) - VLOOKUP(C1110,'CHAS - Chicago'!$C$1:$J$2762,2,FALSE)</f>
        <v>48490</v>
      </c>
      <c r="E1110" t="s">
        <v>366</v>
      </c>
      <c r="F1110" s="71" t="s">
        <v>508</v>
      </c>
      <c r="G1110" s="71" t="s">
        <v>1413</v>
      </c>
      <c r="H1110" s="71" t="s">
        <v>982</v>
      </c>
      <c r="I1110" s="71" t="s">
        <v>1374</v>
      </c>
    </row>
    <row r="1111" spans="1:9" ht="43.5" x14ac:dyDescent="0.35">
      <c r="A1111">
        <v>7</v>
      </c>
      <c r="B1111">
        <v>161</v>
      </c>
      <c r="C1111" t="s">
        <v>1548</v>
      </c>
      <c r="D1111" s="64">
        <f>VLOOKUP(C1111,'CHAS - Cook Co'!$C$1:$J$2762,2,FALSE) - VLOOKUP(C1111,'CHAS - Chicago'!$C$1:$J$2762,2,FALSE)</f>
        <v>2660</v>
      </c>
      <c r="E1111" t="s">
        <v>366</v>
      </c>
      <c r="F1111" s="71" t="s">
        <v>508</v>
      </c>
      <c r="G1111" s="71" t="s">
        <v>1413</v>
      </c>
      <c r="H1111" s="71" t="s">
        <v>1379</v>
      </c>
      <c r="I1111" s="71" t="s">
        <v>1374</v>
      </c>
    </row>
    <row r="1112" spans="1:9" ht="43.5" x14ac:dyDescent="0.35">
      <c r="A1112">
        <v>7</v>
      </c>
      <c r="B1112">
        <v>162</v>
      </c>
      <c r="C1112" t="s">
        <v>1549</v>
      </c>
      <c r="D1112" s="64">
        <f>VLOOKUP(C1112,'CHAS - Cook Co'!$C$1:$J$2762,2,FALSE) - VLOOKUP(C1112,'CHAS - Chicago'!$C$1:$J$2762,2,FALSE)</f>
        <v>490</v>
      </c>
      <c r="E1112" t="s">
        <v>373</v>
      </c>
      <c r="F1112" s="71" t="s">
        <v>508</v>
      </c>
      <c r="G1112" s="71" t="s">
        <v>1413</v>
      </c>
      <c r="H1112" s="71" t="s">
        <v>1379</v>
      </c>
      <c r="I1112" s="71" t="s">
        <v>1381</v>
      </c>
    </row>
    <row r="1113" spans="1:9" ht="43.5" x14ac:dyDescent="0.35">
      <c r="A1113">
        <v>7</v>
      </c>
      <c r="B1113">
        <v>163</v>
      </c>
      <c r="C1113" t="s">
        <v>1550</v>
      </c>
      <c r="D1113" s="64">
        <f>VLOOKUP(C1113,'CHAS - Cook Co'!$C$1:$J$2762,2,FALSE) - VLOOKUP(C1113,'CHAS - Chicago'!$C$1:$J$2762,2,FALSE)</f>
        <v>1150</v>
      </c>
      <c r="E1113" t="s">
        <v>373</v>
      </c>
      <c r="F1113" s="71" t="s">
        <v>508</v>
      </c>
      <c r="G1113" s="71" t="s">
        <v>1413</v>
      </c>
      <c r="H1113" s="71" t="s">
        <v>1379</v>
      </c>
      <c r="I1113" s="71" t="s">
        <v>1383</v>
      </c>
    </row>
    <row r="1114" spans="1:9" ht="43.5" x14ac:dyDescent="0.35">
      <c r="A1114">
        <v>7</v>
      </c>
      <c r="B1114">
        <v>164</v>
      </c>
      <c r="C1114" t="s">
        <v>1551</v>
      </c>
      <c r="D1114" s="64">
        <f>VLOOKUP(C1114,'CHAS - Cook Co'!$C$1:$J$2762,2,FALSE) - VLOOKUP(C1114,'CHAS - Chicago'!$C$1:$J$2762,2,FALSE)</f>
        <v>1015</v>
      </c>
      <c r="E1114" t="s">
        <v>373</v>
      </c>
      <c r="F1114" s="71" t="s">
        <v>508</v>
      </c>
      <c r="G1114" s="71" t="s">
        <v>1413</v>
      </c>
      <c r="H1114" s="71" t="s">
        <v>1379</v>
      </c>
      <c r="I1114" s="71" t="s">
        <v>1385</v>
      </c>
    </row>
    <row r="1115" spans="1:9" ht="43.5" x14ac:dyDescent="0.35">
      <c r="A1115">
        <v>7</v>
      </c>
      <c r="B1115">
        <v>165</v>
      </c>
      <c r="C1115" t="s">
        <v>1552</v>
      </c>
      <c r="D1115" s="64">
        <f>VLOOKUP(C1115,'CHAS - Cook Co'!$C$1:$J$2762,2,FALSE) - VLOOKUP(C1115,'CHAS - Chicago'!$C$1:$J$2762,2,FALSE)</f>
        <v>0</v>
      </c>
      <c r="E1115" t="s">
        <v>373</v>
      </c>
      <c r="F1115" s="71" t="s">
        <v>508</v>
      </c>
      <c r="G1115" s="71" t="s">
        <v>1413</v>
      </c>
      <c r="H1115" s="71" t="s">
        <v>1379</v>
      </c>
      <c r="I1115" s="71" t="s">
        <v>1387</v>
      </c>
    </row>
    <row r="1116" spans="1:9" ht="58" x14ac:dyDescent="0.35">
      <c r="A1116">
        <v>7</v>
      </c>
      <c r="B1116">
        <v>166</v>
      </c>
      <c r="C1116" t="s">
        <v>1553</v>
      </c>
      <c r="D1116" s="64">
        <f>VLOOKUP(C1116,'CHAS - Cook Co'!$C$1:$J$2762,2,FALSE) - VLOOKUP(C1116,'CHAS - Chicago'!$C$1:$J$2762,2,FALSE)</f>
        <v>19635</v>
      </c>
      <c r="E1116" t="s">
        <v>366</v>
      </c>
      <c r="F1116" s="71" t="s">
        <v>508</v>
      </c>
      <c r="G1116" s="71" t="s">
        <v>1413</v>
      </c>
      <c r="H1116" s="71" t="s">
        <v>1389</v>
      </c>
      <c r="I1116" s="71" t="s">
        <v>1374</v>
      </c>
    </row>
    <row r="1117" spans="1:9" ht="58" x14ac:dyDescent="0.35">
      <c r="A1117">
        <v>7</v>
      </c>
      <c r="B1117">
        <v>167</v>
      </c>
      <c r="C1117" t="s">
        <v>1554</v>
      </c>
      <c r="D1117" s="64">
        <f>VLOOKUP(C1117,'CHAS - Cook Co'!$C$1:$J$2762,2,FALSE) - VLOOKUP(C1117,'CHAS - Chicago'!$C$1:$J$2762,2,FALSE)</f>
        <v>3545</v>
      </c>
      <c r="E1117" t="s">
        <v>373</v>
      </c>
      <c r="F1117" s="71" t="s">
        <v>508</v>
      </c>
      <c r="G1117" s="71" t="s">
        <v>1413</v>
      </c>
      <c r="H1117" s="71" t="s">
        <v>1389</v>
      </c>
      <c r="I1117" s="71" t="s">
        <v>1381</v>
      </c>
    </row>
    <row r="1118" spans="1:9" ht="58" x14ac:dyDescent="0.35">
      <c r="A1118">
        <v>7</v>
      </c>
      <c r="B1118">
        <v>168</v>
      </c>
      <c r="C1118" t="s">
        <v>1555</v>
      </c>
      <c r="D1118" s="64">
        <f>VLOOKUP(C1118,'CHAS - Cook Co'!$C$1:$J$2762,2,FALSE) - VLOOKUP(C1118,'CHAS - Chicago'!$C$1:$J$2762,2,FALSE)</f>
        <v>11095</v>
      </c>
      <c r="E1118" t="s">
        <v>373</v>
      </c>
      <c r="F1118" s="71" t="s">
        <v>508</v>
      </c>
      <c r="G1118" s="71" t="s">
        <v>1413</v>
      </c>
      <c r="H1118" s="71" t="s">
        <v>1389</v>
      </c>
      <c r="I1118" s="71" t="s">
        <v>1383</v>
      </c>
    </row>
    <row r="1119" spans="1:9" ht="58" x14ac:dyDescent="0.35">
      <c r="A1119">
        <v>7</v>
      </c>
      <c r="B1119">
        <v>169</v>
      </c>
      <c r="C1119" t="s">
        <v>1556</v>
      </c>
      <c r="D1119" s="64">
        <f>VLOOKUP(C1119,'CHAS - Cook Co'!$C$1:$J$2762,2,FALSE) - VLOOKUP(C1119,'CHAS - Chicago'!$C$1:$J$2762,2,FALSE)</f>
        <v>5000</v>
      </c>
      <c r="E1119" t="s">
        <v>373</v>
      </c>
      <c r="F1119" s="71" t="s">
        <v>508</v>
      </c>
      <c r="G1119" s="71" t="s">
        <v>1413</v>
      </c>
      <c r="H1119" s="71" t="s">
        <v>1389</v>
      </c>
      <c r="I1119" s="71" t="s">
        <v>1385</v>
      </c>
    </row>
    <row r="1120" spans="1:9" ht="58" x14ac:dyDescent="0.35">
      <c r="A1120">
        <v>7</v>
      </c>
      <c r="B1120">
        <v>170</v>
      </c>
      <c r="C1120" t="s">
        <v>1557</v>
      </c>
      <c r="D1120" s="64">
        <f>VLOOKUP(C1120,'CHAS - Cook Co'!$C$1:$J$2762,2,FALSE) - VLOOKUP(C1120,'CHAS - Chicago'!$C$1:$J$2762,2,FALSE)</f>
        <v>0</v>
      </c>
      <c r="E1120" t="s">
        <v>373</v>
      </c>
      <c r="F1120" s="71" t="s">
        <v>508</v>
      </c>
      <c r="G1120" s="71" t="s">
        <v>1413</v>
      </c>
      <c r="H1120" s="71" t="s">
        <v>1389</v>
      </c>
      <c r="I1120" s="71" t="s">
        <v>1387</v>
      </c>
    </row>
    <row r="1121" spans="1:9" ht="43.5" x14ac:dyDescent="0.35">
      <c r="A1121">
        <v>7</v>
      </c>
      <c r="B1121">
        <v>171</v>
      </c>
      <c r="C1121" t="s">
        <v>1558</v>
      </c>
      <c r="D1121" s="64">
        <f>VLOOKUP(C1121,'CHAS - Cook Co'!$C$1:$J$2762,2,FALSE) - VLOOKUP(C1121,'CHAS - Chicago'!$C$1:$J$2762,2,FALSE)</f>
        <v>6560</v>
      </c>
      <c r="E1121" t="s">
        <v>366</v>
      </c>
      <c r="F1121" s="71" t="s">
        <v>508</v>
      </c>
      <c r="G1121" s="71" t="s">
        <v>1413</v>
      </c>
      <c r="H1121" s="71" t="s">
        <v>1395</v>
      </c>
      <c r="I1121" s="71" t="s">
        <v>1374</v>
      </c>
    </row>
    <row r="1122" spans="1:9" ht="43.5" x14ac:dyDescent="0.35">
      <c r="A1122">
        <v>7</v>
      </c>
      <c r="B1122">
        <v>172</v>
      </c>
      <c r="C1122" t="s">
        <v>1559</v>
      </c>
      <c r="D1122" s="64">
        <f>VLOOKUP(C1122,'CHAS - Cook Co'!$C$1:$J$2762,2,FALSE) - VLOOKUP(C1122,'CHAS - Chicago'!$C$1:$J$2762,2,FALSE)</f>
        <v>1895</v>
      </c>
      <c r="E1122" t="s">
        <v>373</v>
      </c>
      <c r="F1122" s="71" t="s">
        <v>508</v>
      </c>
      <c r="G1122" s="71" t="s">
        <v>1413</v>
      </c>
      <c r="H1122" s="71" t="s">
        <v>1395</v>
      </c>
      <c r="I1122" s="71" t="s">
        <v>1381</v>
      </c>
    </row>
    <row r="1123" spans="1:9" ht="43.5" x14ac:dyDescent="0.35">
      <c r="A1123">
        <v>7</v>
      </c>
      <c r="B1123">
        <v>173</v>
      </c>
      <c r="C1123" t="s">
        <v>1560</v>
      </c>
      <c r="D1123" s="64">
        <f>VLOOKUP(C1123,'CHAS - Cook Co'!$C$1:$J$2762,2,FALSE) - VLOOKUP(C1123,'CHAS - Chicago'!$C$1:$J$2762,2,FALSE)</f>
        <v>3540</v>
      </c>
      <c r="E1123" t="s">
        <v>373</v>
      </c>
      <c r="F1123" s="71" t="s">
        <v>508</v>
      </c>
      <c r="G1123" s="71" t="s">
        <v>1413</v>
      </c>
      <c r="H1123" s="71" t="s">
        <v>1395</v>
      </c>
      <c r="I1123" s="71" t="s">
        <v>1383</v>
      </c>
    </row>
    <row r="1124" spans="1:9" ht="43.5" x14ac:dyDescent="0.35">
      <c r="A1124">
        <v>7</v>
      </c>
      <c r="B1124">
        <v>174</v>
      </c>
      <c r="C1124" t="s">
        <v>1561</v>
      </c>
      <c r="D1124" s="64">
        <f>VLOOKUP(C1124,'CHAS - Cook Co'!$C$1:$J$2762,2,FALSE) - VLOOKUP(C1124,'CHAS - Chicago'!$C$1:$J$2762,2,FALSE)</f>
        <v>1125</v>
      </c>
      <c r="E1124" t="s">
        <v>373</v>
      </c>
      <c r="F1124" s="71" t="s">
        <v>508</v>
      </c>
      <c r="G1124" s="71" t="s">
        <v>1413</v>
      </c>
      <c r="H1124" s="71" t="s">
        <v>1395</v>
      </c>
      <c r="I1124" s="71" t="s">
        <v>1385</v>
      </c>
    </row>
    <row r="1125" spans="1:9" ht="43.5" x14ac:dyDescent="0.35">
      <c r="A1125">
        <v>7</v>
      </c>
      <c r="B1125">
        <v>175</v>
      </c>
      <c r="C1125" t="s">
        <v>1562</v>
      </c>
      <c r="D1125" s="64">
        <f>VLOOKUP(C1125,'CHAS - Cook Co'!$C$1:$J$2762,2,FALSE) - VLOOKUP(C1125,'CHAS - Chicago'!$C$1:$J$2762,2,FALSE)</f>
        <v>0</v>
      </c>
      <c r="E1125" t="s">
        <v>373</v>
      </c>
      <c r="F1125" s="71" t="s">
        <v>508</v>
      </c>
      <c r="G1125" s="71" t="s">
        <v>1413</v>
      </c>
      <c r="H1125" s="71" t="s">
        <v>1395</v>
      </c>
      <c r="I1125" s="71" t="s">
        <v>1387</v>
      </c>
    </row>
    <row r="1126" spans="1:9" ht="43.5" x14ac:dyDescent="0.35">
      <c r="A1126">
        <v>7</v>
      </c>
      <c r="B1126">
        <v>176</v>
      </c>
      <c r="C1126" t="s">
        <v>1563</v>
      </c>
      <c r="D1126" s="64">
        <f>VLOOKUP(C1126,'CHAS - Cook Co'!$C$1:$J$2762,2,FALSE) - VLOOKUP(C1126,'CHAS - Chicago'!$C$1:$J$2762,2,FALSE)</f>
        <v>8255</v>
      </c>
      <c r="E1126" t="s">
        <v>366</v>
      </c>
      <c r="F1126" s="71" t="s">
        <v>508</v>
      </c>
      <c r="G1126" s="71" t="s">
        <v>1413</v>
      </c>
      <c r="H1126" s="71" t="s">
        <v>1401</v>
      </c>
      <c r="I1126" s="71" t="s">
        <v>1374</v>
      </c>
    </row>
    <row r="1127" spans="1:9" ht="43.5" x14ac:dyDescent="0.35">
      <c r="A1127">
        <v>7</v>
      </c>
      <c r="B1127">
        <v>177</v>
      </c>
      <c r="C1127" t="s">
        <v>1564</v>
      </c>
      <c r="D1127" s="64">
        <f>VLOOKUP(C1127,'CHAS - Cook Co'!$C$1:$J$2762,2,FALSE) - VLOOKUP(C1127,'CHAS - Chicago'!$C$1:$J$2762,2,FALSE)</f>
        <v>1710</v>
      </c>
      <c r="E1127" t="s">
        <v>373</v>
      </c>
      <c r="F1127" s="71" t="s">
        <v>508</v>
      </c>
      <c r="G1127" s="71" t="s">
        <v>1413</v>
      </c>
      <c r="H1127" s="71" t="s">
        <v>1401</v>
      </c>
      <c r="I1127" s="71" t="s">
        <v>1381</v>
      </c>
    </row>
    <row r="1128" spans="1:9" ht="43.5" x14ac:dyDescent="0.35">
      <c r="A1128">
        <v>7</v>
      </c>
      <c r="B1128">
        <v>178</v>
      </c>
      <c r="C1128" t="s">
        <v>1565</v>
      </c>
      <c r="D1128" s="64">
        <f>VLOOKUP(C1128,'CHAS - Cook Co'!$C$1:$J$2762,2,FALSE) - VLOOKUP(C1128,'CHAS - Chicago'!$C$1:$J$2762,2,FALSE)</f>
        <v>3395</v>
      </c>
      <c r="E1128" t="s">
        <v>373</v>
      </c>
      <c r="F1128" s="71" t="s">
        <v>508</v>
      </c>
      <c r="G1128" s="71" t="s">
        <v>1413</v>
      </c>
      <c r="H1128" s="71" t="s">
        <v>1401</v>
      </c>
      <c r="I1128" s="71" t="s">
        <v>1383</v>
      </c>
    </row>
    <row r="1129" spans="1:9" ht="43.5" x14ac:dyDescent="0.35">
      <c r="A1129">
        <v>7</v>
      </c>
      <c r="B1129">
        <v>179</v>
      </c>
      <c r="C1129" t="s">
        <v>1566</v>
      </c>
      <c r="D1129" s="64">
        <f>VLOOKUP(C1129,'CHAS - Cook Co'!$C$1:$J$2762,2,FALSE) - VLOOKUP(C1129,'CHAS - Chicago'!$C$1:$J$2762,2,FALSE)</f>
        <v>3140</v>
      </c>
      <c r="E1129" t="s">
        <v>373</v>
      </c>
      <c r="F1129" s="71" t="s">
        <v>508</v>
      </c>
      <c r="G1129" s="71" t="s">
        <v>1413</v>
      </c>
      <c r="H1129" s="71" t="s">
        <v>1401</v>
      </c>
      <c r="I1129" s="71" t="s">
        <v>1385</v>
      </c>
    </row>
    <row r="1130" spans="1:9" ht="43.5" x14ac:dyDescent="0.35">
      <c r="A1130">
        <v>7</v>
      </c>
      <c r="B1130">
        <v>180</v>
      </c>
      <c r="C1130" t="s">
        <v>1567</v>
      </c>
      <c r="D1130" s="64">
        <f>VLOOKUP(C1130,'CHAS - Cook Co'!$C$1:$J$2762,2,FALSE) - VLOOKUP(C1130,'CHAS - Chicago'!$C$1:$J$2762,2,FALSE)</f>
        <v>0</v>
      </c>
      <c r="E1130" t="s">
        <v>373</v>
      </c>
      <c r="F1130" s="71" t="s">
        <v>508</v>
      </c>
      <c r="G1130" s="71" t="s">
        <v>1413</v>
      </c>
      <c r="H1130" s="71" t="s">
        <v>1401</v>
      </c>
      <c r="I1130" s="71" t="s">
        <v>1387</v>
      </c>
    </row>
    <row r="1131" spans="1:9" ht="43.5" x14ac:dyDescent="0.35">
      <c r="A1131">
        <v>7</v>
      </c>
      <c r="B1131">
        <v>181</v>
      </c>
      <c r="C1131" t="s">
        <v>1568</v>
      </c>
      <c r="D1131" s="64">
        <f>VLOOKUP(C1131,'CHAS - Cook Co'!$C$1:$J$2762,2,FALSE) - VLOOKUP(C1131,'CHAS - Chicago'!$C$1:$J$2762,2,FALSE)</f>
        <v>11380</v>
      </c>
      <c r="E1131" t="s">
        <v>366</v>
      </c>
      <c r="F1131" s="71" t="s">
        <v>508</v>
      </c>
      <c r="G1131" s="71" t="s">
        <v>1413</v>
      </c>
      <c r="H1131" s="71" t="s">
        <v>1407</v>
      </c>
      <c r="I1131" s="71" t="s">
        <v>1374</v>
      </c>
    </row>
    <row r="1132" spans="1:9" ht="43.5" x14ac:dyDescent="0.35">
      <c r="A1132">
        <v>7</v>
      </c>
      <c r="B1132">
        <v>182</v>
      </c>
      <c r="C1132" t="s">
        <v>1569</v>
      </c>
      <c r="D1132" s="64">
        <f>VLOOKUP(C1132,'CHAS - Cook Co'!$C$1:$J$2762,2,FALSE) - VLOOKUP(C1132,'CHAS - Chicago'!$C$1:$J$2762,2,FALSE)</f>
        <v>1280</v>
      </c>
      <c r="E1132" t="s">
        <v>373</v>
      </c>
      <c r="F1132" s="71" t="s">
        <v>508</v>
      </c>
      <c r="G1132" s="71" t="s">
        <v>1413</v>
      </c>
      <c r="H1132" s="71" t="s">
        <v>1407</v>
      </c>
      <c r="I1132" s="71" t="s">
        <v>1381</v>
      </c>
    </row>
    <row r="1133" spans="1:9" ht="43.5" x14ac:dyDescent="0.35">
      <c r="A1133">
        <v>7</v>
      </c>
      <c r="B1133">
        <v>183</v>
      </c>
      <c r="C1133" t="s">
        <v>1570</v>
      </c>
      <c r="D1133" s="64">
        <f>VLOOKUP(C1133,'CHAS - Cook Co'!$C$1:$J$2762,2,FALSE) - VLOOKUP(C1133,'CHAS - Chicago'!$C$1:$J$2762,2,FALSE)</f>
        <v>6105</v>
      </c>
      <c r="E1133" t="s">
        <v>373</v>
      </c>
      <c r="F1133" s="71" t="s">
        <v>508</v>
      </c>
      <c r="G1133" s="71" t="s">
        <v>1413</v>
      </c>
      <c r="H1133" s="71" t="s">
        <v>1407</v>
      </c>
      <c r="I1133" s="71" t="s">
        <v>1383</v>
      </c>
    </row>
    <row r="1134" spans="1:9" ht="43.5" x14ac:dyDescent="0.35">
      <c r="A1134">
        <v>7</v>
      </c>
      <c r="B1134">
        <v>184</v>
      </c>
      <c r="C1134" t="s">
        <v>1571</v>
      </c>
      <c r="D1134" s="64">
        <f>VLOOKUP(C1134,'CHAS - Cook Co'!$C$1:$J$2762,2,FALSE) - VLOOKUP(C1134,'CHAS - Chicago'!$C$1:$J$2762,2,FALSE)</f>
        <v>3990</v>
      </c>
      <c r="E1134" t="s">
        <v>373</v>
      </c>
      <c r="F1134" s="71" t="s">
        <v>508</v>
      </c>
      <c r="G1134" s="71" t="s">
        <v>1413</v>
      </c>
      <c r="H1134" s="71" t="s">
        <v>1407</v>
      </c>
      <c r="I1134" s="71" t="s">
        <v>1385</v>
      </c>
    </row>
    <row r="1135" spans="1:9" ht="43.5" x14ac:dyDescent="0.35">
      <c r="A1135">
        <v>7</v>
      </c>
      <c r="B1135">
        <v>185</v>
      </c>
      <c r="C1135" t="s">
        <v>1572</v>
      </c>
      <c r="D1135" s="64">
        <f>VLOOKUP(C1135,'CHAS - Cook Co'!$C$1:$J$2762,2,FALSE) - VLOOKUP(C1135,'CHAS - Chicago'!$C$1:$J$2762,2,FALSE)</f>
        <v>0</v>
      </c>
      <c r="E1135" t="s">
        <v>373</v>
      </c>
      <c r="F1135" s="71" t="s">
        <v>508</v>
      </c>
      <c r="G1135" s="71" t="s">
        <v>1413</v>
      </c>
      <c r="H1135" s="71" t="s">
        <v>1407</v>
      </c>
      <c r="I1135" s="71" t="s">
        <v>1387</v>
      </c>
    </row>
    <row r="1136" spans="1:9" ht="43.5" x14ac:dyDescent="0.35">
      <c r="A1136">
        <v>7</v>
      </c>
      <c r="B1136">
        <v>186</v>
      </c>
      <c r="C1136" t="s">
        <v>1573</v>
      </c>
      <c r="D1136" s="64">
        <f>VLOOKUP(C1136,'CHAS - Cook Co'!$C$1:$J$2762,2,FALSE) - VLOOKUP(C1136,'CHAS - Chicago'!$C$1:$J$2762,2,FALSE)</f>
        <v>54040</v>
      </c>
      <c r="E1136" t="s">
        <v>366</v>
      </c>
      <c r="F1136" s="71" t="s">
        <v>508</v>
      </c>
      <c r="G1136" s="71" t="s">
        <v>1440</v>
      </c>
      <c r="H1136" s="71" t="s">
        <v>982</v>
      </c>
      <c r="I1136" s="71" t="s">
        <v>1374</v>
      </c>
    </row>
    <row r="1137" spans="1:9" ht="43.5" x14ac:dyDescent="0.35">
      <c r="A1137">
        <v>7</v>
      </c>
      <c r="B1137">
        <v>187</v>
      </c>
      <c r="C1137" t="s">
        <v>1574</v>
      </c>
      <c r="D1137" s="64">
        <f>VLOOKUP(C1137,'CHAS - Cook Co'!$C$1:$J$2762,2,FALSE) - VLOOKUP(C1137,'CHAS - Chicago'!$C$1:$J$2762,2,FALSE)</f>
        <v>2215</v>
      </c>
      <c r="E1137" t="s">
        <v>366</v>
      </c>
      <c r="F1137" s="71" t="s">
        <v>508</v>
      </c>
      <c r="G1137" s="71" t="s">
        <v>1440</v>
      </c>
      <c r="H1137" s="71" t="s">
        <v>1379</v>
      </c>
      <c r="I1137" s="71" t="s">
        <v>1374</v>
      </c>
    </row>
    <row r="1138" spans="1:9" ht="43.5" x14ac:dyDescent="0.35">
      <c r="A1138">
        <v>7</v>
      </c>
      <c r="B1138">
        <v>188</v>
      </c>
      <c r="C1138" t="s">
        <v>1575</v>
      </c>
      <c r="D1138" s="64">
        <f>VLOOKUP(C1138,'CHAS - Cook Co'!$C$1:$J$2762,2,FALSE) - VLOOKUP(C1138,'CHAS - Chicago'!$C$1:$J$2762,2,FALSE)</f>
        <v>1305</v>
      </c>
      <c r="E1138" t="s">
        <v>373</v>
      </c>
      <c r="F1138" s="71" t="s">
        <v>508</v>
      </c>
      <c r="G1138" s="71" t="s">
        <v>1440</v>
      </c>
      <c r="H1138" s="71" t="s">
        <v>1379</v>
      </c>
      <c r="I1138" s="71" t="s">
        <v>1381</v>
      </c>
    </row>
    <row r="1139" spans="1:9" ht="43.5" x14ac:dyDescent="0.35">
      <c r="A1139">
        <v>7</v>
      </c>
      <c r="B1139">
        <v>189</v>
      </c>
      <c r="C1139" t="s">
        <v>1576</v>
      </c>
      <c r="D1139" s="64">
        <f>VLOOKUP(C1139,'CHAS - Cook Co'!$C$1:$J$2762,2,FALSE) - VLOOKUP(C1139,'CHAS - Chicago'!$C$1:$J$2762,2,FALSE)</f>
        <v>775</v>
      </c>
      <c r="E1139" t="s">
        <v>373</v>
      </c>
      <c r="F1139" s="71" t="s">
        <v>508</v>
      </c>
      <c r="G1139" s="71" t="s">
        <v>1440</v>
      </c>
      <c r="H1139" s="71" t="s">
        <v>1379</v>
      </c>
      <c r="I1139" s="71" t="s">
        <v>1383</v>
      </c>
    </row>
    <row r="1140" spans="1:9" ht="43.5" x14ac:dyDescent="0.35">
      <c r="A1140">
        <v>7</v>
      </c>
      <c r="B1140">
        <v>190</v>
      </c>
      <c r="C1140" t="s">
        <v>1577</v>
      </c>
      <c r="D1140" s="64">
        <f>VLOOKUP(C1140,'CHAS - Cook Co'!$C$1:$J$2762,2,FALSE) - VLOOKUP(C1140,'CHAS - Chicago'!$C$1:$J$2762,2,FALSE)</f>
        <v>135</v>
      </c>
      <c r="E1140" t="s">
        <v>373</v>
      </c>
      <c r="F1140" s="71" t="s">
        <v>508</v>
      </c>
      <c r="G1140" s="71" t="s">
        <v>1440</v>
      </c>
      <c r="H1140" s="71" t="s">
        <v>1379</v>
      </c>
      <c r="I1140" s="71" t="s">
        <v>1385</v>
      </c>
    </row>
    <row r="1141" spans="1:9" ht="43.5" x14ac:dyDescent="0.35">
      <c r="A1141">
        <v>7</v>
      </c>
      <c r="B1141">
        <v>191</v>
      </c>
      <c r="C1141" t="s">
        <v>1578</v>
      </c>
      <c r="D1141" s="64">
        <f>VLOOKUP(C1141,'CHAS - Cook Co'!$C$1:$J$2762,2,FALSE) - VLOOKUP(C1141,'CHAS - Chicago'!$C$1:$J$2762,2,FALSE)</f>
        <v>0</v>
      </c>
      <c r="E1141" t="s">
        <v>373</v>
      </c>
      <c r="F1141" s="71" t="s">
        <v>508</v>
      </c>
      <c r="G1141" s="71" t="s">
        <v>1440</v>
      </c>
      <c r="H1141" s="71" t="s">
        <v>1379</v>
      </c>
      <c r="I1141" s="71" t="s">
        <v>1387</v>
      </c>
    </row>
    <row r="1142" spans="1:9" ht="58" x14ac:dyDescent="0.35">
      <c r="A1142">
        <v>7</v>
      </c>
      <c r="B1142">
        <v>192</v>
      </c>
      <c r="C1142" t="s">
        <v>1579</v>
      </c>
      <c r="D1142" s="64">
        <f>VLOOKUP(C1142,'CHAS - Cook Co'!$C$1:$J$2762,2,FALSE) - VLOOKUP(C1142,'CHAS - Chicago'!$C$1:$J$2762,2,FALSE)</f>
        <v>24390</v>
      </c>
      <c r="E1142" t="s">
        <v>366</v>
      </c>
      <c r="F1142" s="71" t="s">
        <v>508</v>
      </c>
      <c r="G1142" s="71" t="s">
        <v>1440</v>
      </c>
      <c r="H1142" s="71" t="s">
        <v>1389</v>
      </c>
      <c r="I1142" s="71" t="s">
        <v>1374</v>
      </c>
    </row>
    <row r="1143" spans="1:9" ht="58" x14ac:dyDescent="0.35">
      <c r="A1143">
        <v>7</v>
      </c>
      <c r="B1143">
        <v>193</v>
      </c>
      <c r="C1143" t="s">
        <v>1580</v>
      </c>
      <c r="D1143" s="64">
        <f>VLOOKUP(C1143,'CHAS - Cook Co'!$C$1:$J$2762,2,FALSE) - VLOOKUP(C1143,'CHAS - Chicago'!$C$1:$J$2762,2,FALSE)</f>
        <v>16320</v>
      </c>
      <c r="E1143" t="s">
        <v>373</v>
      </c>
      <c r="F1143" s="71" t="s">
        <v>508</v>
      </c>
      <c r="G1143" s="71" t="s">
        <v>1440</v>
      </c>
      <c r="H1143" s="71" t="s">
        <v>1389</v>
      </c>
      <c r="I1143" s="71" t="s">
        <v>1381</v>
      </c>
    </row>
    <row r="1144" spans="1:9" ht="58" x14ac:dyDescent="0.35">
      <c r="A1144">
        <v>7</v>
      </c>
      <c r="B1144">
        <v>194</v>
      </c>
      <c r="C1144" t="s">
        <v>1581</v>
      </c>
      <c r="D1144" s="64">
        <f>VLOOKUP(C1144,'CHAS - Cook Co'!$C$1:$J$2762,2,FALSE) - VLOOKUP(C1144,'CHAS - Chicago'!$C$1:$J$2762,2,FALSE)</f>
        <v>7235</v>
      </c>
      <c r="E1144" t="s">
        <v>373</v>
      </c>
      <c r="F1144" s="71" t="s">
        <v>508</v>
      </c>
      <c r="G1144" s="71" t="s">
        <v>1440</v>
      </c>
      <c r="H1144" s="71" t="s">
        <v>1389</v>
      </c>
      <c r="I1144" s="71" t="s">
        <v>1383</v>
      </c>
    </row>
    <row r="1145" spans="1:9" ht="58" x14ac:dyDescent="0.35">
      <c r="A1145">
        <v>7</v>
      </c>
      <c r="B1145">
        <v>195</v>
      </c>
      <c r="C1145" t="s">
        <v>1582</v>
      </c>
      <c r="D1145" s="64">
        <f>VLOOKUP(C1145,'CHAS - Cook Co'!$C$1:$J$2762,2,FALSE) - VLOOKUP(C1145,'CHAS - Chicago'!$C$1:$J$2762,2,FALSE)</f>
        <v>830</v>
      </c>
      <c r="E1145" t="s">
        <v>373</v>
      </c>
      <c r="F1145" s="71" t="s">
        <v>508</v>
      </c>
      <c r="G1145" s="71" t="s">
        <v>1440</v>
      </c>
      <c r="H1145" s="71" t="s">
        <v>1389</v>
      </c>
      <c r="I1145" s="71" t="s">
        <v>1385</v>
      </c>
    </row>
    <row r="1146" spans="1:9" ht="58" x14ac:dyDescent="0.35">
      <c r="A1146">
        <v>7</v>
      </c>
      <c r="B1146">
        <v>196</v>
      </c>
      <c r="C1146" t="s">
        <v>1583</v>
      </c>
      <c r="D1146" s="64">
        <f>VLOOKUP(C1146,'CHAS - Cook Co'!$C$1:$J$2762,2,FALSE) - VLOOKUP(C1146,'CHAS - Chicago'!$C$1:$J$2762,2,FALSE)</f>
        <v>0</v>
      </c>
      <c r="E1146" t="s">
        <v>373</v>
      </c>
      <c r="F1146" s="71" t="s">
        <v>508</v>
      </c>
      <c r="G1146" s="71" t="s">
        <v>1440</v>
      </c>
      <c r="H1146" s="71" t="s">
        <v>1389</v>
      </c>
      <c r="I1146" s="71" t="s">
        <v>1387</v>
      </c>
    </row>
    <row r="1147" spans="1:9" ht="43.5" x14ac:dyDescent="0.35">
      <c r="A1147">
        <v>7</v>
      </c>
      <c r="B1147">
        <v>197</v>
      </c>
      <c r="C1147" t="s">
        <v>1584</v>
      </c>
      <c r="D1147" s="64">
        <f>VLOOKUP(C1147,'CHAS - Cook Co'!$C$1:$J$2762,2,FALSE) - VLOOKUP(C1147,'CHAS - Chicago'!$C$1:$J$2762,2,FALSE)</f>
        <v>5265</v>
      </c>
      <c r="E1147" t="s">
        <v>366</v>
      </c>
      <c r="F1147" s="71" t="s">
        <v>508</v>
      </c>
      <c r="G1147" s="71" t="s">
        <v>1440</v>
      </c>
      <c r="H1147" s="71" t="s">
        <v>1395</v>
      </c>
      <c r="I1147" s="71" t="s">
        <v>1374</v>
      </c>
    </row>
    <row r="1148" spans="1:9" ht="43.5" x14ac:dyDescent="0.35">
      <c r="A1148">
        <v>7</v>
      </c>
      <c r="B1148">
        <v>198</v>
      </c>
      <c r="C1148" t="s">
        <v>1585</v>
      </c>
      <c r="D1148" s="64">
        <f>VLOOKUP(C1148,'CHAS - Cook Co'!$C$1:$J$2762,2,FALSE) - VLOOKUP(C1148,'CHAS - Chicago'!$C$1:$J$2762,2,FALSE)</f>
        <v>3625</v>
      </c>
      <c r="E1148" t="s">
        <v>373</v>
      </c>
      <c r="F1148" s="71" t="s">
        <v>508</v>
      </c>
      <c r="G1148" s="71" t="s">
        <v>1440</v>
      </c>
      <c r="H1148" s="71" t="s">
        <v>1395</v>
      </c>
      <c r="I1148" s="71" t="s">
        <v>1381</v>
      </c>
    </row>
    <row r="1149" spans="1:9" ht="43.5" x14ac:dyDescent="0.35">
      <c r="A1149">
        <v>7</v>
      </c>
      <c r="B1149">
        <v>199</v>
      </c>
      <c r="C1149" t="s">
        <v>1586</v>
      </c>
      <c r="D1149" s="64">
        <f>VLOOKUP(C1149,'CHAS - Cook Co'!$C$1:$J$2762,2,FALSE) - VLOOKUP(C1149,'CHAS - Chicago'!$C$1:$J$2762,2,FALSE)</f>
        <v>1590</v>
      </c>
      <c r="E1149" t="s">
        <v>373</v>
      </c>
      <c r="F1149" s="71" t="s">
        <v>508</v>
      </c>
      <c r="G1149" s="71" t="s">
        <v>1440</v>
      </c>
      <c r="H1149" s="71" t="s">
        <v>1395</v>
      </c>
      <c r="I1149" s="71" t="s">
        <v>1383</v>
      </c>
    </row>
    <row r="1150" spans="1:9" ht="43.5" x14ac:dyDescent="0.35">
      <c r="A1150">
        <v>7</v>
      </c>
      <c r="B1150">
        <v>200</v>
      </c>
      <c r="C1150" t="s">
        <v>1587</v>
      </c>
      <c r="D1150" s="64">
        <f>VLOOKUP(C1150,'CHAS - Cook Co'!$C$1:$J$2762,2,FALSE) - VLOOKUP(C1150,'CHAS - Chicago'!$C$1:$J$2762,2,FALSE)</f>
        <v>45</v>
      </c>
      <c r="E1150" t="s">
        <v>373</v>
      </c>
      <c r="F1150" s="71" t="s">
        <v>508</v>
      </c>
      <c r="G1150" s="71" t="s">
        <v>1440</v>
      </c>
      <c r="H1150" s="71" t="s">
        <v>1395</v>
      </c>
      <c r="I1150" s="71" t="s">
        <v>1385</v>
      </c>
    </row>
    <row r="1151" spans="1:9" ht="43.5" x14ac:dyDescent="0.35">
      <c r="A1151">
        <v>7</v>
      </c>
      <c r="B1151">
        <v>201</v>
      </c>
      <c r="C1151" t="s">
        <v>1588</v>
      </c>
      <c r="D1151" s="64">
        <f>VLOOKUP(C1151,'CHAS - Cook Co'!$C$1:$J$2762,2,FALSE) - VLOOKUP(C1151,'CHAS - Chicago'!$C$1:$J$2762,2,FALSE)</f>
        <v>0</v>
      </c>
      <c r="E1151" t="s">
        <v>373</v>
      </c>
      <c r="F1151" s="71" t="s">
        <v>508</v>
      </c>
      <c r="G1151" s="71" t="s">
        <v>1440</v>
      </c>
      <c r="H1151" s="71" t="s">
        <v>1395</v>
      </c>
      <c r="I1151" s="71" t="s">
        <v>1387</v>
      </c>
    </row>
    <row r="1152" spans="1:9" ht="43.5" x14ac:dyDescent="0.35">
      <c r="A1152">
        <v>7</v>
      </c>
      <c r="B1152">
        <v>202</v>
      </c>
      <c r="C1152" t="s">
        <v>1589</v>
      </c>
      <c r="D1152" s="64">
        <f>VLOOKUP(C1152,'CHAS - Cook Co'!$C$1:$J$2762,2,FALSE) - VLOOKUP(C1152,'CHAS - Chicago'!$C$1:$J$2762,2,FALSE)</f>
        <v>5490</v>
      </c>
      <c r="E1152" t="s">
        <v>366</v>
      </c>
      <c r="F1152" s="71" t="s">
        <v>508</v>
      </c>
      <c r="G1152" s="71" t="s">
        <v>1440</v>
      </c>
      <c r="H1152" s="71" t="s">
        <v>1401</v>
      </c>
      <c r="I1152" s="71" t="s">
        <v>1374</v>
      </c>
    </row>
    <row r="1153" spans="1:9" ht="43.5" x14ac:dyDescent="0.35">
      <c r="A1153">
        <v>7</v>
      </c>
      <c r="B1153">
        <v>203</v>
      </c>
      <c r="C1153" t="s">
        <v>1590</v>
      </c>
      <c r="D1153" s="64">
        <f>VLOOKUP(C1153,'CHAS - Cook Co'!$C$1:$J$2762,2,FALSE) - VLOOKUP(C1153,'CHAS - Chicago'!$C$1:$J$2762,2,FALSE)</f>
        <v>2875</v>
      </c>
      <c r="E1153" t="s">
        <v>373</v>
      </c>
      <c r="F1153" s="71" t="s">
        <v>508</v>
      </c>
      <c r="G1153" s="71" t="s">
        <v>1440</v>
      </c>
      <c r="H1153" s="71" t="s">
        <v>1401</v>
      </c>
      <c r="I1153" s="71" t="s">
        <v>1381</v>
      </c>
    </row>
    <row r="1154" spans="1:9" ht="43.5" x14ac:dyDescent="0.35">
      <c r="A1154">
        <v>7</v>
      </c>
      <c r="B1154">
        <v>204</v>
      </c>
      <c r="C1154" t="s">
        <v>1591</v>
      </c>
      <c r="D1154" s="64">
        <f>VLOOKUP(C1154,'CHAS - Cook Co'!$C$1:$J$2762,2,FALSE) - VLOOKUP(C1154,'CHAS - Chicago'!$C$1:$J$2762,2,FALSE)</f>
        <v>1835</v>
      </c>
      <c r="E1154" t="s">
        <v>373</v>
      </c>
      <c r="F1154" s="71" t="s">
        <v>508</v>
      </c>
      <c r="G1154" s="71" t="s">
        <v>1440</v>
      </c>
      <c r="H1154" s="71" t="s">
        <v>1401</v>
      </c>
      <c r="I1154" s="71" t="s">
        <v>1383</v>
      </c>
    </row>
    <row r="1155" spans="1:9" ht="43.5" x14ac:dyDescent="0.35">
      <c r="A1155">
        <v>7</v>
      </c>
      <c r="B1155">
        <v>205</v>
      </c>
      <c r="C1155" t="s">
        <v>1592</v>
      </c>
      <c r="D1155" s="64">
        <f>VLOOKUP(C1155,'CHAS - Cook Co'!$C$1:$J$2762,2,FALSE) - VLOOKUP(C1155,'CHAS - Chicago'!$C$1:$J$2762,2,FALSE)</f>
        <v>775</v>
      </c>
      <c r="E1155" t="s">
        <v>373</v>
      </c>
      <c r="F1155" s="71" t="s">
        <v>508</v>
      </c>
      <c r="G1155" s="71" t="s">
        <v>1440</v>
      </c>
      <c r="H1155" s="71" t="s">
        <v>1401</v>
      </c>
      <c r="I1155" s="71" t="s">
        <v>1385</v>
      </c>
    </row>
    <row r="1156" spans="1:9" ht="43.5" x14ac:dyDescent="0.35">
      <c r="A1156">
        <v>7</v>
      </c>
      <c r="B1156">
        <v>206</v>
      </c>
      <c r="C1156" t="s">
        <v>1593</v>
      </c>
      <c r="D1156" s="64">
        <f>VLOOKUP(C1156,'CHAS - Cook Co'!$C$1:$J$2762,2,FALSE) - VLOOKUP(C1156,'CHAS - Chicago'!$C$1:$J$2762,2,FALSE)</f>
        <v>0</v>
      </c>
      <c r="E1156" t="s">
        <v>373</v>
      </c>
      <c r="F1156" s="71" t="s">
        <v>508</v>
      </c>
      <c r="G1156" s="71" t="s">
        <v>1440</v>
      </c>
      <c r="H1156" s="71" t="s">
        <v>1401</v>
      </c>
      <c r="I1156" s="71" t="s">
        <v>1387</v>
      </c>
    </row>
    <row r="1157" spans="1:9" ht="43.5" x14ac:dyDescent="0.35">
      <c r="A1157">
        <v>7</v>
      </c>
      <c r="B1157">
        <v>207</v>
      </c>
      <c r="C1157" t="s">
        <v>1594</v>
      </c>
      <c r="D1157" s="64">
        <f>VLOOKUP(C1157,'CHAS - Cook Co'!$C$1:$J$2762,2,FALSE) - VLOOKUP(C1157,'CHAS - Chicago'!$C$1:$J$2762,2,FALSE)</f>
        <v>16685</v>
      </c>
      <c r="E1157" t="s">
        <v>366</v>
      </c>
      <c r="F1157" s="71" t="s">
        <v>508</v>
      </c>
      <c r="G1157" s="71" t="s">
        <v>1440</v>
      </c>
      <c r="H1157" s="71" t="s">
        <v>1407</v>
      </c>
      <c r="I1157" s="71" t="s">
        <v>1374</v>
      </c>
    </row>
    <row r="1158" spans="1:9" ht="43.5" x14ac:dyDescent="0.35">
      <c r="A1158">
        <v>7</v>
      </c>
      <c r="B1158">
        <v>208</v>
      </c>
      <c r="C1158" t="s">
        <v>1595</v>
      </c>
      <c r="D1158" s="64">
        <f>VLOOKUP(C1158,'CHAS - Cook Co'!$C$1:$J$2762,2,FALSE) - VLOOKUP(C1158,'CHAS - Chicago'!$C$1:$J$2762,2,FALSE)</f>
        <v>10130</v>
      </c>
      <c r="E1158" t="s">
        <v>373</v>
      </c>
      <c r="F1158" s="71" t="s">
        <v>508</v>
      </c>
      <c r="G1158" s="71" t="s">
        <v>1440</v>
      </c>
      <c r="H1158" s="71" t="s">
        <v>1407</v>
      </c>
      <c r="I1158" s="71" t="s">
        <v>1381</v>
      </c>
    </row>
    <row r="1159" spans="1:9" ht="43.5" x14ac:dyDescent="0.35">
      <c r="A1159">
        <v>7</v>
      </c>
      <c r="B1159">
        <v>209</v>
      </c>
      <c r="C1159" t="s">
        <v>1596</v>
      </c>
      <c r="D1159" s="64">
        <f>VLOOKUP(C1159,'CHAS - Cook Co'!$C$1:$J$2762,2,FALSE) - VLOOKUP(C1159,'CHAS - Chicago'!$C$1:$J$2762,2,FALSE)</f>
        <v>6010</v>
      </c>
      <c r="E1159" t="s">
        <v>373</v>
      </c>
      <c r="F1159" s="71" t="s">
        <v>508</v>
      </c>
      <c r="G1159" s="71" t="s">
        <v>1440</v>
      </c>
      <c r="H1159" s="71" t="s">
        <v>1407</v>
      </c>
      <c r="I1159" s="71" t="s">
        <v>1383</v>
      </c>
    </row>
    <row r="1160" spans="1:9" ht="43.5" x14ac:dyDescent="0.35">
      <c r="A1160">
        <v>7</v>
      </c>
      <c r="B1160">
        <v>210</v>
      </c>
      <c r="C1160" t="s">
        <v>1597</v>
      </c>
      <c r="D1160" s="64">
        <f>VLOOKUP(C1160,'CHAS - Cook Co'!$C$1:$J$2762,2,FALSE) - VLOOKUP(C1160,'CHAS - Chicago'!$C$1:$J$2762,2,FALSE)</f>
        <v>545</v>
      </c>
      <c r="E1160" t="s">
        <v>373</v>
      </c>
      <c r="F1160" s="71" t="s">
        <v>508</v>
      </c>
      <c r="G1160" s="71" t="s">
        <v>1440</v>
      </c>
      <c r="H1160" s="71" t="s">
        <v>1407</v>
      </c>
      <c r="I1160" s="71" t="s">
        <v>1385</v>
      </c>
    </row>
    <row r="1161" spans="1:9" ht="43.5" x14ac:dyDescent="0.35">
      <c r="A1161">
        <v>7</v>
      </c>
      <c r="B1161">
        <v>211</v>
      </c>
      <c r="C1161" t="s">
        <v>1598</v>
      </c>
      <c r="D1161" s="64">
        <f>VLOOKUP(C1161,'CHAS - Cook Co'!$C$1:$J$2762,2,FALSE) - VLOOKUP(C1161,'CHAS - Chicago'!$C$1:$J$2762,2,FALSE)</f>
        <v>0</v>
      </c>
      <c r="E1161" t="s">
        <v>373</v>
      </c>
      <c r="F1161" s="71" t="s">
        <v>508</v>
      </c>
      <c r="G1161" s="71" t="s">
        <v>1440</v>
      </c>
      <c r="H1161" s="71" t="s">
        <v>1407</v>
      </c>
      <c r="I1161" s="71" t="s">
        <v>1387</v>
      </c>
    </row>
    <row r="1162" spans="1:9" ht="43.5" x14ac:dyDescent="0.35">
      <c r="A1162">
        <v>7</v>
      </c>
      <c r="B1162">
        <v>212</v>
      </c>
      <c r="C1162" t="s">
        <v>1599</v>
      </c>
      <c r="D1162" s="64">
        <f>VLOOKUP(C1162,'CHAS - Cook Co'!$C$1:$J$2762,2,FALSE) - VLOOKUP(C1162,'CHAS - Chicago'!$C$1:$J$2762,2,FALSE)</f>
        <v>27315</v>
      </c>
      <c r="E1162" t="s">
        <v>366</v>
      </c>
      <c r="F1162" s="71" t="s">
        <v>508</v>
      </c>
      <c r="G1162" s="71" t="s">
        <v>1467</v>
      </c>
      <c r="H1162" s="71" t="s">
        <v>982</v>
      </c>
      <c r="I1162" s="71" t="s">
        <v>1374</v>
      </c>
    </row>
    <row r="1163" spans="1:9" ht="43.5" x14ac:dyDescent="0.35">
      <c r="A1163">
        <v>7</v>
      </c>
      <c r="B1163">
        <v>213</v>
      </c>
      <c r="C1163" t="s">
        <v>1600</v>
      </c>
      <c r="D1163" s="64">
        <f>VLOOKUP(C1163,'CHAS - Cook Co'!$C$1:$J$2762,2,FALSE) - VLOOKUP(C1163,'CHAS - Chicago'!$C$1:$J$2762,2,FALSE)</f>
        <v>1180</v>
      </c>
      <c r="E1163" t="s">
        <v>366</v>
      </c>
      <c r="F1163" s="71" t="s">
        <v>508</v>
      </c>
      <c r="G1163" s="71" t="s">
        <v>1467</v>
      </c>
      <c r="H1163" s="71" t="s">
        <v>1379</v>
      </c>
      <c r="I1163" s="71" t="s">
        <v>1374</v>
      </c>
    </row>
    <row r="1164" spans="1:9" ht="43.5" x14ac:dyDescent="0.35">
      <c r="A1164">
        <v>7</v>
      </c>
      <c r="B1164">
        <v>214</v>
      </c>
      <c r="C1164" t="s">
        <v>1601</v>
      </c>
      <c r="D1164" s="64">
        <f>VLOOKUP(C1164,'CHAS - Cook Co'!$C$1:$J$2762,2,FALSE) - VLOOKUP(C1164,'CHAS - Chicago'!$C$1:$J$2762,2,FALSE)</f>
        <v>1025</v>
      </c>
      <c r="E1164" t="s">
        <v>373</v>
      </c>
      <c r="F1164" s="71" t="s">
        <v>508</v>
      </c>
      <c r="G1164" s="71" t="s">
        <v>1467</v>
      </c>
      <c r="H1164" s="71" t="s">
        <v>1379</v>
      </c>
      <c r="I1164" s="71" t="s">
        <v>1381</v>
      </c>
    </row>
    <row r="1165" spans="1:9" ht="43.5" x14ac:dyDescent="0.35">
      <c r="A1165">
        <v>7</v>
      </c>
      <c r="B1165">
        <v>215</v>
      </c>
      <c r="C1165" t="s">
        <v>1602</v>
      </c>
      <c r="D1165" s="64">
        <f>VLOOKUP(C1165,'CHAS - Cook Co'!$C$1:$J$2762,2,FALSE) - VLOOKUP(C1165,'CHAS - Chicago'!$C$1:$J$2762,2,FALSE)</f>
        <v>120</v>
      </c>
      <c r="E1165" t="s">
        <v>373</v>
      </c>
      <c r="F1165" s="71" t="s">
        <v>508</v>
      </c>
      <c r="G1165" s="71" t="s">
        <v>1467</v>
      </c>
      <c r="H1165" s="71" t="s">
        <v>1379</v>
      </c>
      <c r="I1165" s="71" t="s">
        <v>1383</v>
      </c>
    </row>
    <row r="1166" spans="1:9" ht="43.5" x14ac:dyDescent="0.35">
      <c r="A1166">
        <v>7</v>
      </c>
      <c r="B1166">
        <v>216</v>
      </c>
      <c r="C1166" t="s">
        <v>1603</v>
      </c>
      <c r="D1166" s="64">
        <f>VLOOKUP(C1166,'CHAS - Cook Co'!$C$1:$J$2762,2,FALSE) - VLOOKUP(C1166,'CHAS - Chicago'!$C$1:$J$2762,2,FALSE)</f>
        <v>35</v>
      </c>
      <c r="E1166" t="s">
        <v>373</v>
      </c>
      <c r="F1166" s="71" t="s">
        <v>508</v>
      </c>
      <c r="G1166" s="71" t="s">
        <v>1467</v>
      </c>
      <c r="H1166" s="71" t="s">
        <v>1379</v>
      </c>
      <c r="I1166" s="71" t="s">
        <v>1385</v>
      </c>
    </row>
    <row r="1167" spans="1:9" ht="43.5" x14ac:dyDescent="0.35">
      <c r="A1167">
        <v>7</v>
      </c>
      <c r="B1167">
        <v>217</v>
      </c>
      <c r="C1167" t="s">
        <v>1604</v>
      </c>
      <c r="D1167" s="64">
        <f>VLOOKUP(C1167,'CHAS - Cook Co'!$C$1:$J$2762,2,FALSE) - VLOOKUP(C1167,'CHAS - Chicago'!$C$1:$J$2762,2,FALSE)</f>
        <v>0</v>
      </c>
      <c r="E1167" t="s">
        <v>373</v>
      </c>
      <c r="F1167" s="71" t="s">
        <v>508</v>
      </c>
      <c r="G1167" s="71" t="s">
        <v>1467</v>
      </c>
      <c r="H1167" s="71" t="s">
        <v>1379</v>
      </c>
      <c r="I1167" s="71" t="s">
        <v>1387</v>
      </c>
    </row>
    <row r="1168" spans="1:9" ht="58" x14ac:dyDescent="0.35">
      <c r="A1168">
        <v>7</v>
      </c>
      <c r="B1168">
        <v>218</v>
      </c>
      <c r="C1168" t="s">
        <v>1605</v>
      </c>
      <c r="D1168" s="64">
        <f>VLOOKUP(C1168,'CHAS - Cook Co'!$C$1:$J$2762,2,FALSE) - VLOOKUP(C1168,'CHAS - Chicago'!$C$1:$J$2762,2,FALSE)</f>
        <v>12670</v>
      </c>
      <c r="E1168" t="s">
        <v>366</v>
      </c>
      <c r="F1168" s="71" t="s">
        <v>508</v>
      </c>
      <c r="G1168" s="71" t="s">
        <v>1467</v>
      </c>
      <c r="H1168" s="71" t="s">
        <v>1389</v>
      </c>
      <c r="I1168" s="71" t="s">
        <v>1374</v>
      </c>
    </row>
    <row r="1169" spans="1:9" ht="58" x14ac:dyDescent="0.35">
      <c r="A1169">
        <v>7</v>
      </c>
      <c r="B1169">
        <v>219</v>
      </c>
      <c r="C1169" t="s">
        <v>1606</v>
      </c>
      <c r="D1169" s="64">
        <f>VLOOKUP(C1169,'CHAS - Cook Co'!$C$1:$J$2762,2,FALSE) - VLOOKUP(C1169,'CHAS - Chicago'!$C$1:$J$2762,2,FALSE)</f>
        <v>11460</v>
      </c>
      <c r="E1169" t="s">
        <v>373</v>
      </c>
      <c r="F1169" s="71" t="s">
        <v>508</v>
      </c>
      <c r="G1169" s="71" t="s">
        <v>1467</v>
      </c>
      <c r="H1169" s="71" t="s">
        <v>1389</v>
      </c>
      <c r="I1169" s="71" t="s">
        <v>1381</v>
      </c>
    </row>
    <row r="1170" spans="1:9" ht="58" x14ac:dyDescent="0.35">
      <c r="A1170">
        <v>7</v>
      </c>
      <c r="B1170">
        <v>220</v>
      </c>
      <c r="C1170" t="s">
        <v>1607</v>
      </c>
      <c r="D1170" s="64">
        <f>VLOOKUP(C1170,'CHAS - Cook Co'!$C$1:$J$2762,2,FALSE) - VLOOKUP(C1170,'CHAS - Chicago'!$C$1:$J$2762,2,FALSE)</f>
        <v>1180</v>
      </c>
      <c r="E1170" t="s">
        <v>373</v>
      </c>
      <c r="F1170" s="71" t="s">
        <v>508</v>
      </c>
      <c r="G1170" s="71" t="s">
        <v>1467</v>
      </c>
      <c r="H1170" s="71" t="s">
        <v>1389</v>
      </c>
      <c r="I1170" s="71" t="s">
        <v>1383</v>
      </c>
    </row>
    <row r="1171" spans="1:9" ht="58" x14ac:dyDescent="0.35">
      <c r="A1171">
        <v>7</v>
      </c>
      <c r="B1171">
        <v>221</v>
      </c>
      <c r="C1171" t="s">
        <v>1608</v>
      </c>
      <c r="D1171" s="64">
        <f>VLOOKUP(C1171,'CHAS - Cook Co'!$C$1:$J$2762,2,FALSE) - VLOOKUP(C1171,'CHAS - Chicago'!$C$1:$J$2762,2,FALSE)</f>
        <v>30</v>
      </c>
      <c r="E1171" t="s">
        <v>373</v>
      </c>
      <c r="F1171" s="71" t="s">
        <v>508</v>
      </c>
      <c r="G1171" s="71" t="s">
        <v>1467</v>
      </c>
      <c r="H1171" s="71" t="s">
        <v>1389</v>
      </c>
      <c r="I1171" s="71" t="s">
        <v>1385</v>
      </c>
    </row>
    <row r="1172" spans="1:9" ht="58" x14ac:dyDescent="0.35">
      <c r="A1172">
        <v>7</v>
      </c>
      <c r="B1172">
        <v>222</v>
      </c>
      <c r="C1172" t="s">
        <v>1609</v>
      </c>
      <c r="D1172" s="64">
        <f>VLOOKUP(C1172,'CHAS - Cook Co'!$C$1:$J$2762,2,FALSE) - VLOOKUP(C1172,'CHAS - Chicago'!$C$1:$J$2762,2,FALSE)</f>
        <v>0</v>
      </c>
      <c r="E1172" t="s">
        <v>373</v>
      </c>
      <c r="F1172" s="71" t="s">
        <v>508</v>
      </c>
      <c r="G1172" s="71" t="s">
        <v>1467</v>
      </c>
      <c r="H1172" s="71" t="s">
        <v>1389</v>
      </c>
      <c r="I1172" s="71" t="s">
        <v>1387</v>
      </c>
    </row>
    <row r="1173" spans="1:9" ht="43.5" x14ac:dyDescent="0.35">
      <c r="A1173">
        <v>7</v>
      </c>
      <c r="B1173">
        <v>223</v>
      </c>
      <c r="C1173" t="s">
        <v>1610</v>
      </c>
      <c r="D1173" s="64">
        <f>VLOOKUP(C1173,'CHAS - Cook Co'!$C$1:$J$2762,2,FALSE) - VLOOKUP(C1173,'CHAS - Chicago'!$C$1:$J$2762,2,FALSE)</f>
        <v>2115</v>
      </c>
      <c r="E1173" t="s">
        <v>366</v>
      </c>
      <c r="F1173" s="71" t="s">
        <v>508</v>
      </c>
      <c r="G1173" s="71" t="s">
        <v>1467</v>
      </c>
      <c r="H1173" s="71" t="s">
        <v>1395</v>
      </c>
      <c r="I1173" s="71" t="s">
        <v>1374</v>
      </c>
    </row>
    <row r="1174" spans="1:9" ht="43.5" x14ac:dyDescent="0.35">
      <c r="A1174">
        <v>7</v>
      </c>
      <c r="B1174">
        <v>224</v>
      </c>
      <c r="C1174" t="s">
        <v>1611</v>
      </c>
      <c r="D1174" s="64">
        <f>VLOOKUP(C1174,'CHAS - Cook Co'!$C$1:$J$2762,2,FALSE) - VLOOKUP(C1174,'CHAS - Chicago'!$C$1:$J$2762,2,FALSE)</f>
        <v>1885</v>
      </c>
      <c r="E1174" t="s">
        <v>373</v>
      </c>
      <c r="F1174" s="71" t="s">
        <v>508</v>
      </c>
      <c r="G1174" s="71" t="s">
        <v>1467</v>
      </c>
      <c r="H1174" s="71" t="s">
        <v>1395</v>
      </c>
      <c r="I1174" s="71" t="s">
        <v>1381</v>
      </c>
    </row>
    <row r="1175" spans="1:9" ht="43.5" x14ac:dyDescent="0.35">
      <c r="A1175">
        <v>7</v>
      </c>
      <c r="B1175">
        <v>225</v>
      </c>
      <c r="C1175" t="s">
        <v>1612</v>
      </c>
      <c r="D1175" s="64">
        <f>VLOOKUP(C1175,'CHAS - Cook Co'!$C$1:$J$2762,2,FALSE) - VLOOKUP(C1175,'CHAS - Chicago'!$C$1:$J$2762,2,FALSE)</f>
        <v>235</v>
      </c>
      <c r="E1175" t="s">
        <v>373</v>
      </c>
      <c r="F1175" s="71" t="s">
        <v>508</v>
      </c>
      <c r="G1175" s="71" t="s">
        <v>1467</v>
      </c>
      <c r="H1175" s="71" t="s">
        <v>1395</v>
      </c>
      <c r="I1175" s="71" t="s">
        <v>1383</v>
      </c>
    </row>
    <row r="1176" spans="1:9" ht="43.5" x14ac:dyDescent="0.35">
      <c r="A1176">
        <v>7</v>
      </c>
      <c r="B1176">
        <v>226</v>
      </c>
      <c r="C1176" t="s">
        <v>1613</v>
      </c>
      <c r="D1176" s="64">
        <f>VLOOKUP(C1176,'CHAS - Cook Co'!$C$1:$J$2762,2,FALSE) - VLOOKUP(C1176,'CHAS - Chicago'!$C$1:$J$2762,2,FALSE)</f>
        <v>0</v>
      </c>
      <c r="E1176" t="s">
        <v>373</v>
      </c>
      <c r="F1176" s="71" t="s">
        <v>508</v>
      </c>
      <c r="G1176" s="71" t="s">
        <v>1467</v>
      </c>
      <c r="H1176" s="71" t="s">
        <v>1395</v>
      </c>
      <c r="I1176" s="71" t="s">
        <v>1385</v>
      </c>
    </row>
    <row r="1177" spans="1:9" ht="43.5" x14ac:dyDescent="0.35">
      <c r="A1177">
        <v>7</v>
      </c>
      <c r="B1177">
        <v>227</v>
      </c>
      <c r="C1177" t="s">
        <v>1614</v>
      </c>
      <c r="D1177" s="64">
        <f>VLOOKUP(C1177,'CHAS - Cook Co'!$C$1:$J$2762,2,FALSE) - VLOOKUP(C1177,'CHAS - Chicago'!$C$1:$J$2762,2,FALSE)</f>
        <v>0</v>
      </c>
      <c r="E1177" t="s">
        <v>373</v>
      </c>
      <c r="F1177" s="71" t="s">
        <v>508</v>
      </c>
      <c r="G1177" s="71" t="s">
        <v>1467</v>
      </c>
      <c r="H1177" s="71" t="s">
        <v>1395</v>
      </c>
      <c r="I1177" s="71" t="s">
        <v>1387</v>
      </c>
    </row>
    <row r="1178" spans="1:9" ht="43.5" x14ac:dyDescent="0.35">
      <c r="A1178">
        <v>7</v>
      </c>
      <c r="B1178">
        <v>228</v>
      </c>
      <c r="C1178" t="s">
        <v>1615</v>
      </c>
      <c r="D1178" s="64">
        <f>VLOOKUP(C1178,'CHAS - Cook Co'!$C$1:$J$2762,2,FALSE) - VLOOKUP(C1178,'CHAS - Chicago'!$C$1:$J$2762,2,FALSE)</f>
        <v>1955</v>
      </c>
      <c r="E1178" t="s">
        <v>366</v>
      </c>
      <c r="F1178" s="71" t="s">
        <v>508</v>
      </c>
      <c r="G1178" s="71" t="s">
        <v>1467</v>
      </c>
      <c r="H1178" s="71" t="s">
        <v>1401</v>
      </c>
      <c r="I1178" s="71" t="s">
        <v>1374</v>
      </c>
    </row>
    <row r="1179" spans="1:9" ht="43.5" x14ac:dyDescent="0.35">
      <c r="A1179">
        <v>7</v>
      </c>
      <c r="B1179">
        <v>229</v>
      </c>
      <c r="C1179" t="s">
        <v>1616</v>
      </c>
      <c r="D1179" s="64">
        <f>VLOOKUP(C1179,'CHAS - Cook Co'!$C$1:$J$2762,2,FALSE) - VLOOKUP(C1179,'CHAS - Chicago'!$C$1:$J$2762,2,FALSE)</f>
        <v>1440</v>
      </c>
      <c r="E1179" t="s">
        <v>373</v>
      </c>
      <c r="F1179" s="71" t="s">
        <v>508</v>
      </c>
      <c r="G1179" s="71" t="s">
        <v>1467</v>
      </c>
      <c r="H1179" s="71" t="s">
        <v>1401</v>
      </c>
      <c r="I1179" s="71" t="s">
        <v>1381</v>
      </c>
    </row>
    <row r="1180" spans="1:9" ht="43.5" x14ac:dyDescent="0.35">
      <c r="A1180">
        <v>7</v>
      </c>
      <c r="B1180">
        <v>230</v>
      </c>
      <c r="C1180" t="s">
        <v>1617</v>
      </c>
      <c r="D1180" s="64">
        <f>VLOOKUP(C1180,'CHAS - Cook Co'!$C$1:$J$2762,2,FALSE) - VLOOKUP(C1180,'CHAS - Chicago'!$C$1:$J$2762,2,FALSE)</f>
        <v>380</v>
      </c>
      <c r="E1180" t="s">
        <v>373</v>
      </c>
      <c r="F1180" s="71" t="s">
        <v>508</v>
      </c>
      <c r="G1180" s="71" t="s">
        <v>1467</v>
      </c>
      <c r="H1180" s="71" t="s">
        <v>1401</v>
      </c>
      <c r="I1180" s="71" t="s">
        <v>1383</v>
      </c>
    </row>
    <row r="1181" spans="1:9" ht="43.5" x14ac:dyDescent="0.35">
      <c r="A1181">
        <v>7</v>
      </c>
      <c r="B1181">
        <v>231</v>
      </c>
      <c r="C1181" t="s">
        <v>1618</v>
      </c>
      <c r="D1181" s="64">
        <f>VLOOKUP(C1181,'CHAS - Cook Co'!$C$1:$J$2762,2,FALSE) - VLOOKUP(C1181,'CHAS - Chicago'!$C$1:$J$2762,2,FALSE)</f>
        <v>135</v>
      </c>
      <c r="E1181" t="s">
        <v>373</v>
      </c>
      <c r="F1181" s="71" t="s">
        <v>508</v>
      </c>
      <c r="G1181" s="71" t="s">
        <v>1467</v>
      </c>
      <c r="H1181" s="71" t="s">
        <v>1401</v>
      </c>
      <c r="I1181" s="71" t="s">
        <v>1385</v>
      </c>
    </row>
    <row r="1182" spans="1:9" ht="43.5" x14ac:dyDescent="0.35">
      <c r="A1182">
        <v>7</v>
      </c>
      <c r="B1182">
        <v>232</v>
      </c>
      <c r="C1182" t="s">
        <v>1619</v>
      </c>
      <c r="D1182" s="64">
        <f>VLOOKUP(C1182,'CHAS - Cook Co'!$C$1:$J$2762,2,FALSE) - VLOOKUP(C1182,'CHAS - Chicago'!$C$1:$J$2762,2,FALSE)</f>
        <v>0</v>
      </c>
      <c r="E1182" t="s">
        <v>373</v>
      </c>
      <c r="F1182" s="71" t="s">
        <v>508</v>
      </c>
      <c r="G1182" s="71" t="s">
        <v>1467</v>
      </c>
      <c r="H1182" s="71" t="s">
        <v>1401</v>
      </c>
      <c r="I1182" s="71" t="s">
        <v>1387</v>
      </c>
    </row>
    <row r="1183" spans="1:9" ht="43.5" x14ac:dyDescent="0.35">
      <c r="A1183">
        <v>7</v>
      </c>
      <c r="B1183">
        <v>233</v>
      </c>
      <c r="C1183" t="s">
        <v>1620</v>
      </c>
      <c r="D1183" s="64">
        <f>VLOOKUP(C1183,'CHAS - Cook Co'!$C$1:$J$2762,2,FALSE) - VLOOKUP(C1183,'CHAS - Chicago'!$C$1:$J$2762,2,FALSE)</f>
        <v>9395</v>
      </c>
      <c r="E1183" t="s">
        <v>366</v>
      </c>
      <c r="F1183" s="71" t="s">
        <v>508</v>
      </c>
      <c r="G1183" s="71" t="s">
        <v>1467</v>
      </c>
      <c r="H1183" s="71" t="s">
        <v>1407</v>
      </c>
      <c r="I1183" s="71" t="s">
        <v>1374</v>
      </c>
    </row>
    <row r="1184" spans="1:9" ht="43.5" x14ac:dyDescent="0.35">
      <c r="A1184">
        <v>7</v>
      </c>
      <c r="B1184">
        <v>234</v>
      </c>
      <c r="C1184" t="s">
        <v>1621</v>
      </c>
      <c r="D1184" s="64">
        <f>VLOOKUP(C1184,'CHAS - Cook Co'!$C$1:$J$2762,2,FALSE) - VLOOKUP(C1184,'CHAS - Chicago'!$C$1:$J$2762,2,FALSE)</f>
        <v>7910</v>
      </c>
      <c r="E1184" t="s">
        <v>373</v>
      </c>
      <c r="F1184" s="71" t="s">
        <v>508</v>
      </c>
      <c r="G1184" s="71" t="s">
        <v>1467</v>
      </c>
      <c r="H1184" s="71" t="s">
        <v>1407</v>
      </c>
      <c r="I1184" s="71" t="s">
        <v>1381</v>
      </c>
    </row>
    <row r="1185" spans="1:9" ht="43.5" x14ac:dyDescent="0.35">
      <c r="A1185">
        <v>7</v>
      </c>
      <c r="B1185">
        <v>235</v>
      </c>
      <c r="C1185" t="s">
        <v>1622</v>
      </c>
      <c r="D1185" s="64">
        <f>VLOOKUP(C1185,'CHAS - Cook Co'!$C$1:$J$2762,2,FALSE) - VLOOKUP(C1185,'CHAS - Chicago'!$C$1:$J$2762,2,FALSE)</f>
        <v>1390</v>
      </c>
      <c r="E1185" t="s">
        <v>373</v>
      </c>
      <c r="F1185" s="71" t="s">
        <v>508</v>
      </c>
      <c r="G1185" s="71" t="s">
        <v>1467</v>
      </c>
      <c r="H1185" s="71" t="s">
        <v>1407</v>
      </c>
      <c r="I1185" s="71" t="s">
        <v>1383</v>
      </c>
    </row>
    <row r="1186" spans="1:9" ht="43.5" x14ac:dyDescent="0.35">
      <c r="A1186">
        <v>7</v>
      </c>
      <c r="B1186">
        <v>236</v>
      </c>
      <c r="C1186" t="s">
        <v>1623</v>
      </c>
      <c r="D1186" s="64">
        <f>VLOOKUP(C1186,'CHAS - Cook Co'!$C$1:$J$2762,2,FALSE) - VLOOKUP(C1186,'CHAS - Chicago'!$C$1:$J$2762,2,FALSE)</f>
        <v>100</v>
      </c>
      <c r="E1186" t="s">
        <v>373</v>
      </c>
      <c r="F1186" s="71" t="s">
        <v>508</v>
      </c>
      <c r="G1186" s="71" t="s">
        <v>1467</v>
      </c>
      <c r="H1186" s="71" t="s">
        <v>1407</v>
      </c>
      <c r="I1186" s="71" t="s">
        <v>1385</v>
      </c>
    </row>
    <row r="1187" spans="1:9" ht="43.5" x14ac:dyDescent="0.35">
      <c r="A1187">
        <v>7</v>
      </c>
      <c r="B1187">
        <v>237</v>
      </c>
      <c r="C1187" t="s">
        <v>1624</v>
      </c>
      <c r="D1187" s="64">
        <f>VLOOKUP(C1187,'CHAS - Cook Co'!$C$1:$J$2762,2,FALSE) - VLOOKUP(C1187,'CHAS - Chicago'!$C$1:$J$2762,2,FALSE)</f>
        <v>0</v>
      </c>
      <c r="E1187" t="s">
        <v>373</v>
      </c>
      <c r="F1187" s="71" t="s">
        <v>508</v>
      </c>
      <c r="G1187" s="71" t="s">
        <v>1467</v>
      </c>
      <c r="H1187" s="71" t="s">
        <v>1407</v>
      </c>
      <c r="I1187" s="71" t="s">
        <v>1387</v>
      </c>
    </row>
    <row r="1188" spans="1:9" ht="43.5" x14ac:dyDescent="0.35">
      <c r="A1188">
        <v>7</v>
      </c>
      <c r="B1188">
        <v>238</v>
      </c>
      <c r="C1188" t="s">
        <v>1625</v>
      </c>
      <c r="D1188" s="64">
        <f>VLOOKUP(C1188,'CHAS - Cook Co'!$C$1:$J$2762,2,FALSE) - VLOOKUP(C1188,'CHAS - Chicago'!$C$1:$J$2762,2,FALSE)</f>
        <v>62140</v>
      </c>
      <c r="E1188" t="s">
        <v>366</v>
      </c>
      <c r="F1188" s="71" t="s">
        <v>508</v>
      </c>
      <c r="G1188" s="71" t="s">
        <v>1494</v>
      </c>
      <c r="H1188" s="71" t="s">
        <v>982</v>
      </c>
      <c r="I1188" s="71" t="s">
        <v>1374</v>
      </c>
    </row>
    <row r="1189" spans="1:9" ht="43.5" x14ac:dyDescent="0.35">
      <c r="A1189">
        <v>7</v>
      </c>
      <c r="B1189">
        <v>239</v>
      </c>
      <c r="C1189" t="s">
        <v>1626</v>
      </c>
      <c r="D1189" s="64">
        <f>VLOOKUP(C1189,'CHAS - Cook Co'!$C$1:$J$2762,2,FALSE) - VLOOKUP(C1189,'CHAS - Chicago'!$C$1:$J$2762,2,FALSE)</f>
        <v>2905</v>
      </c>
      <c r="E1189" t="s">
        <v>366</v>
      </c>
      <c r="F1189" s="71" t="s">
        <v>508</v>
      </c>
      <c r="G1189" s="71" t="s">
        <v>1494</v>
      </c>
      <c r="H1189" s="71" t="s">
        <v>1379</v>
      </c>
      <c r="I1189" s="71" t="s">
        <v>1374</v>
      </c>
    </row>
    <row r="1190" spans="1:9" ht="43.5" x14ac:dyDescent="0.35">
      <c r="A1190">
        <v>7</v>
      </c>
      <c r="B1190">
        <v>240</v>
      </c>
      <c r="C1190" t="s">
        <v>1627</v>
      </c>
      <c r="D1190" s="64">
        <f>VLOOKUP(C1190,'CHAS - Cook Co'!$C$1:$J$2762,2,FALSE) - VLOOKUP(C1190,'CHAS - Chicago'!$C$1:$J$2762,2,FALSE)</f>
        <v>2660</v>
      </c>
      <c r="E1190" t="s">
        <v>373</v>
      </c>
      <c r="F1190" s="71" t="s">
        <v>508</v>
      </c>
      <c r="G1190" s="71" t="s">
        <v>1494</v>
      </c>
      <c r="H1190" s="71" t="s">
        <v>1379</v>
      </c>
      <c r="I1190" s="71" t="s">
        <v>1381</v>
      </c>
    </row>
    <row r="1191" spans="1:9" ht="43.5" x14ac:dyDescent="0.35">
      <c r="A1191">
        <v>7</v>
      </c>
      <c r="B1191">
        <v>241</v>
      </c>
      <c r="C1191" t="s">
        <v>1628</v>
      </c>
      <c r="D1191" s="64">
        <f>VLOOKUP(C1191,'CHAS - Cook Co'!$C$1:$J$2762,2,FALSE) - VLOOKUP(C1191,'CHAS - Chicago'!$C$1:$J$2762,2,FALSE)</f>
        <v>200</v>
      </c>
      <c r="E1191" t="s">
        <v>373</v>
      </c>
      <c r="F1191" s="71" t="s">
        <v>508</v>
      </c>
      <c r="G1191" s="71" t="s">
        <v>1494</v>
      </c>
      <c r="H1191" s="71" t="s">
        <v>1379</v>
      </c>
      <c r="I1191" s="71" t="s">
        <v>1383</v>
      </c>
    </row>
    <row r="1192" spans="1:9" ht="43.5" x14ac:dyDescent="0.35">
      <c r="A1192">
        <v>7</v>
      </c>
      <c r="B1192">
        <v>242</v>
      </c>
      <c r="C1192" t="s">
        <v>1629</v>
      </c>
      <c r="D1192" s="64">
        <f>VLOOKUP(C1192,'CHAS - Cook Co'!$C$1:$J$2762,2,FALSE) - VLOOKUP(C1192,'CHAS - Chicago'!$C$1:$J$2762,2,FALSE)</f>
        <v>50</v>
      </c>
      <c r="E1192" t="s">
        <v>373</v>
      </c>
      <c r="F1192" s="71" t="s">
        <v>508</v>
      </c>
      <c r="G1192" s="71" t="s">
        <v>1494</v>
      </c>
      <c r="H1192" s="71" t="s">
        <v>1379</v>
      </c>
      <c r="I1192" s="71" t="s">
        <v>1385</v>
      </c>
    </row>
    <row r="1193" spans="1:9" ht="43.5" x14ac:dyDescent="0.35">
      <c r="A1193">
        <v>7</v>
      </c>
      <c r="B1193">
        <v>243</v>
      </c>
      <c r="C1193" t="s">
        <v>1630</v>
      </c>
      <c r="D1193" s="64">
        <f>VLOOKUP(C1193,'CHAS - Cook Co'!$C$1:$J$2762,2,FALSE) - VLOOKUP(C1193,'CHAS - Chicago'!$C$1:$J$2762,2,FALSE)</f>
        <v>0</v>
      </c>
      <c r="E1193" t="s">
        <v>373</v>
      </c>
      <c r="F1193" s="71" t="s">
        <v>508</v>
      </c>
      <c r="G1193" s="71" t="s">
        <v>1494</v>
      </c>
      <c r="H1193" s="71" t="s">
        <v>1379</v>
      </c>
      <c r="I1193" s="71" t="s">
        <v>1387</v>
      </c>
    </row>
    <row r="1194" spans="1:9" ht="58" x14ac:dyDescent="0.35">
      <c r="A1194">
        <v>7</v>
      </c>
      <c r="B1194">
        <v>244</v>
      </c>
      <c r="C1194" t="s">
        <v>1631</v>
      </c>
      <c r="D1194" s="64">
        <f>VLOOKUP(C1194,'CHAS - Cook Co'!$C$1:$J$2762,2,FALSE) - VLOOKUP(C1194,'CHAS - Chicago'!$C$1:$J$2762,2,FALSE)</f>
        <v>29940</v>
      </c>
      <c r="E1194" t="s">
        <v>366</v>
      </c>
      <c r="F1194" s="71" t="s">
        <v>508</v>
      </c>
      <c r="G1194" s="71" t="s">
        <v>1494</v>
      </c>
      <c r="H1194" s="71" t="s">
        <v>1389</v>
      </c>
      <c r="I1194" s="71" t="s">
        <v>1374</v>
      </c>
    </row>
    <row r="1195" spans="1:9" ht="58" x14ac:dyDescent="0.35">
      <c r="A1195">
        <v>7</v>
      </c>
      <c r="B1195">
        <v>245</v>
      </c>
      <c r="C1195" t="s">
        <v>1632</v>
      </c>
      <c r="D1195" s="64">
        <f>VLOOKUP(C1195,'CHAS - Cook Co'!$C$1:$J$2762,2,FALSE) - VLOOKUP(C1195,'CHAS - Chicago'!$C$1:$J$2762,2,FALSE)</f>
        <v>29040</v>
      </c>
      <c r="E1195" t="s">
        <v>373</v>
      </c>
      <c r="F1195" s="71" t="s">
        <v>508</v>
      </c>
      <c r="G1195" s="71" t="s">
        <v>1494</v>
      </c>
      <c r="H1195" s="71" t="s">
        <v>1389</v>
      </c>
      <c r="I1195" s="71" t="s">
        <v>1381</v>
      </c>
    </row>
    <row r="1196" spans="1:9" ht="58" x14ac:dyDescent="0.35">
      <c r="A1196">
        <v>7</v>
      </c>
      <c r="B1196">
        <v>246</v>
      </c>
      <c r="C1196" t="s">
        <v>1633</v>
      </c>
      <c r="D1196" s="64">
        <f>VLOOKUP(C1196,'CHAS - Cook Co'!$C$1:$J$2762,2,FALSE) - VLOOKUP(C1196,'CHAS - Chicago'!$C$1:$J$2762,2,FALSE)</f>
        <v>885</v>
      </c>
      <c r="E1196" t="s">
        <v>373</v>
      </c>
      <c r="F1196" s="71" t="s">
        <v>508</v>
      </c>
      <c r="G1196" s="71" t="s">
        <v>1494</v>
      </c>
      <c r="H1196" s="71" t="s">
        <v>1389</v>
      </c>
      <c r="I1196" s="71" t="s">
        <v>1383</v>
      </c>
    </row>
    <row r="1197" spans="1:9" ht="58" x14ac:dyDescent="0.35">
      <c r="A1197">
        <v>7</v>
      </c>
      <c r="B1197">
        <v>247</v>
      </c>
      <c r="C1197" t="s">
        <v>1634</v>
      </c>
      <c r="D1197" s="64">
        <f>VLOOKUP(C1197,'CHAS - Cook Co'!$C$1:$J$2762,2,FALSE) - VLOOKUP(C1197,'CHAS - Chicago'!$C$1:$J$2762,2,FALSE)</f>
        <v>15</v>
      </c>
      <c r="E1197" t="s">
        <v>373</v>
      </c>
      <c r="F1197" s="71" t="s">
        <v>508</v>
      </c>
      <c r="G1197" s="71" t="s">
        <v>1494</v>
      </c>
      <c r="H1197" s="71" t="s">
        <v>1389</v>
      </c>
      <c r="I1197" s="71" t="s">
        <v>1385</v>
      </c>
    </row>
    <row r="1198" spans="1:9" ht="58" x14ac:dyDescent="0.35">
      <c r="A1198">
        <v>7</v>
      </c>
      <c r="B1198">
        <v>248</v>
      </c>
      <c r="C1198" t="s">
        <v>1635</v>
      </c>
      <c r="D1198" s="64">
        <f>VLOOKUP(C1198,'CHAS - Cook Co'!$C$1:$J$2762,2,FALSE) - VLOOKUP(C1198,'CHAS - Chicago'!$C$1:$J$2762,2,FALSE)</f>
        <v>0</v>
      </c>
      <c r="E1198" t="s">
        <v>373</v>
      </c>
      <c r="F1198" s="71" t="s">
        <v>508</v>
      </c>
      <c r="G1198" s="71" t="s">
        <v>1494</v>
      </c>
      <c r="H1198" s="71" t="s">
        <v>1389</v>
      </c>
      <c r="I1198" s="71" t="s">
        <v>1387</v>
      </c>
    </row>
    <row r="1199" spans="1:9" ht="43.5" x14ac:dyDescent="0.35">
      <c r="A1199">
        <v>7</v>
      </c>
      <c r="B1199">
        <v>249</v>
      </c>
      <c r="C1199" t="s">
        <v>1636</v>
      </c>
      <c r="D1199" s="64">
        <f>VLOOKUP(C1199,'CHAS - Cook Co'!$C$1:$J$2762,2,FALSE) - VLOOKUP(C1199,'CHAS - Chicago'!$C$1:$J$2762,2,FALSE)</f>
        <v>3995</v>
      </c>
      <c r="E1199" t="s">
        <v>366</v>
      </c>
      <c r="F1199" s="71" t="s">
        <v>508</v>
      </c>
      <c r="G1199" s="71" t="s">
        <v>1494</v>
      </c>
      <c r="H1199" s="71" t="s">
        <v>1395</v>
      </c>
      <c r="I1199" s="71" t="s">
        <v>1374</v>
      </c>
    </row>
    <row r="1200" spans="1:9" ht="43.5" x14ac:dyDescent="0.35">
      <c r="A1200">
        <v>7</v>
      </c>
      <c r="B1200">
        <v>250</v>
      </c>
      <c r="C1200" t="s">
        <v>1637</v>
      </c>
      <c r="D1200" s="64">
        <f>VLOOKUP(C1200,'CHAS - Cook Co'!$C$1:$J$2762,2,FALSE) - VLOOKUP(C1200,'CHAS - Chicago'!$C$1:$J$2762,2,FALSE)</f>
        <v>3940</v>
      </c>
      <c r="E1200" t="s">
        <v>373</v>
      </c>
      <c r="F1200" s="71" t="s">
        <v>508</v>
      </c>
      <c r="G1200" s="71" t="s">
        <v>1494</v>
      </c>
      <c r="H1200" s="71" t="s">
        <v>1395</v>
      </c>
      <c r="I1200" s="71" t="s">
        <v>1381</v>
      </c>
    </row>
    <row r="1201" spans="1:9" ht="43.5" x14ac:dyDescent="0.35">
      <c r="A1201">
        <v>7</v>
      </c>
      <c r="B1201">
        <v>251</v>
      </c>
      <c r="C1201" t="s">
        <v>1638</v>
      </c>
      <c r="D1201" s="64">
        <f>VLOOKUP(C1201,'CHAS - Cook Co'!$C$1:$J$2762,2,FALSE) - VLOOKUP(C1201,'CHAS - Chicago'!$C$1:$J$2762,2,FALSE)</f>
        <v>60</v>
      </c>
      <c r="E1201" t="s">
        <v>373</v>
      </c>
      <c r="F1201" s="71" t="s">
        <v>508</v>
      </c>
      <c r="G1201" s="71" t="s">
        <v>1494</v>
      </c>
      <c r="H1201" s="71" t="s">
        <v>1395</v>
      </c>
      <c r="I1201" s="71" t="s">
        <v>1383</v>
      </c>
    </row>
    <row r="1202" spans="1:9" ht="43.5" x14ac:dyDescent="0.35">
      <c r="A1202">
        <v>7</v>
      </c>
      <c r="B1202">
        <v>252</v>
      </c>
      <c r="C1202" t="s">
        <v>1639</v>
      </c>
      <c r="D1202" s="64">
        <f>VLOOKUP(C1202,'CHAS - Cook Co'!$C$1:$J$2762,2,FALSE) - VLOOKUP(C1202,'CHAS - Chicago'!$C$1:$J$2762,2,FALSE)</f>
        <v>0</v>
      </c>
      <c r="E1202" t="s">
        <v>373</v>
      </c>
      <c r="F1202" s="71" t="s">
        <v>508</v>
      </c>
      <c r="G1202" s="71" t="s">
        <v>1494</v>
      </c>
      <c r="H1202" s="71" t="s">
        <v>1395</v>
      </c>
      <c r="I1202" s="71" t="s">
        <v>1385</v>
      </c>
    </row>
    <row r="1203" spans="1:9" ht="43.5" x14ac:dyDescent="0.35">
      <c r="A1203">
        <v>7</v>
      </c>
      <c r="B1203">
        <v>253</v>
      </c>
      <c r="C1203" t="s">
        <v>1640</v>
      </c>
      <c r="D1203" s="64">
        <f>VLOOKUP(C1203,'CHAS - Cook Co'!$C$1:$J$2762,2,FALSE) - VLOOKUP(C1203,'CHAS - Chicago'!$C$1:$J$2762,2,FALSE)</f>
        <v>0</v>
      </c>
      <c r="E1203" t="s">
        <v>373</v>
      </c>
      <c r="F1203" s="71" t="s">
        <v>508</v>
      </c>
      <c r="G1203" s="71" t="s">
        <v>1494</v>
      </c>
      <c r="H1203" s="71" t="s">
        <v>1395</v>
      </c>
      <c r="I1203" s="71" t="s">
        <v>1387</v>
      </c>
    </row>
    <row r="1204" spans="1:9" ht="43.5" x14ac:dyDescent="0.35">
      <c r="A1204">
        <v>7</v>
      </c>
      <c r="B1204">
        <v>254</v>
      </c>
      <c r="C1204" t="s">
        <v>1641</v>
      </c>
      <c r="D1204" s="64">
        <f>VLOOKUP(C1204,'CHAS - Cook Co'!$C$1:$J$2762,2,FALSE) - VLOOKUP(C1204,'CHAS - Chicago'!$C$1:$J$2762,2,FALSE)</f>
        <v>3590</v>
      </c>
      <c r="E1204" t="s">
        <v>366</v>
      </c>
      <c r="F1204" s="71" t="s">
        <v>508</v>
      </c>
      <c r="G1204" s="71" t="s">
        <v>1494</v>
      </c>
      <c r="H1204" s="71" t="s">
        <v>1401</v>
      </c>
      <c r="I1204" s="71" t="s">
        <v>1374</v>
      </c>
    </row>
    <row r="1205" spans="1:9" ht="43.5" x14ac:dyDescent="0.35">
      <c r="A1205">
        <v>7</v>
      </c>
      <c r="B1205">
        <v>255</v>
      </c>
      <c r="C1205" t="s">
        <v>1642</v>
      </c>
      <c r="D1205" s="64">
        <f>VLOOKUP(C1205,'CHAS - Cook Co'!$C$1:$J$2762,2,FALSE) - VLOOKUP(C1205,'CHAS - Chicago'!$C$1:$J$2762,2,FALSE)</f>
        <v>2915</v>
      </c>
      <c r="E1205" t="s">
        <v>373</v>
      </c>
      <c r="F1205" s="71" t="s">
        <v>508</v>
      </c>
      <c r="G1205" s="71" t="s">
        <v>1494</v>
      </c>
      <c r="H1205" s="71" t="s">
        <v>1401</v>
      </c>
      <c r="I1205" s="71" t="s">
        <v>1381</v>
      </c>
    </row>
    <row r="1206" spans="1:9" ht="43.5" x14ac:dyDescent="0.35">
      <c r="A1206">
        <v>7</v>
      </c>
      <c r="B1206">
        <v>256</v>
      </c>
      <c r="C1206" t="s">
        <v>1643</v>
      </c>
      <c r="D1206" s="64">
        <f>VLOOKUP(C1206,'CHAS - Cook Co'!$C$1:$J$2762,2,FALSE) - VLOOKUP(C1206,'CHAS - Chicago'!$C$1:$J$2762,2,FALSE)</f>
        <v>470</v>
      </c>
      <c r="E1206" t="s">
        <v>373</v>
      </c>
      <c r="F1206" s="71" t="s">
        <v>508</v>
      </c>
      <c r="G1206" s="71" t="s">
        <v>1494</v>
      </c>
      <c r="H1206" s="71" t="s">
        <v>1401</v>
      </c>
      <c r="I1206" s="71" t="s">
        <v>1383</v>
      </c>
    </row>
    <row r="1207" spans="1:9" ht="43.5" x14ac:dyDescent="0.35">
      <c r="A1207">
        <v>7</v>
      </c>
      <c r="B1207">
        <v>257</v>
      </c>
      <c r="C1207" t="s">
        <v>1644</v>
      </c>
      <c r="D1207" s="64">
        <f>VLOOKUP(C1207,'CHAS - Cook Co'!$C$1:$J$2762,2,FALSE) - VLOOKUP(C1207,'CHAS - Chicago'!$C$1:$J$2762,2,FALSE)</f>
        <v>205</v>
      </c>
      <c r="E1207" t="s">
        <v>373</v>
      </c>
      <c r="F1207" s="71" t="s">
        <v>508</v>
      </c>
      <c r="G1207" s="71" t="s">
        <v>1494</v>
      </c>
      <c r="H1207" s="71" t="s">
        <v>1401</v>
      </c>
      <c r="I1207" s="71" t="s">
        <v>1385</v>
      </c>
    </row>
    <row r="1208" spans="1:9" ht="43.5" x14ac:dyDescent="0.35">
      <c r="A1208">
        <v>7</v>
      </c>
      <c r="B1208">
        <v>258</v>
      </c>
      <c r="C1208" t="s">
        <v>1645</v>
      </c>
      <c r="D1208" s="64">
        <f>VLOOKUP(C1208,'CHAS - Cook Co'!$C$1:$J$2762,2,FALSE) - VLOOKUP(C1208,'CHAS - Chicago'!$C$1:$J$2762,2,FALSE)</f>
        <v>0</v>
      </c>
      <c r="E1208" t="s">
        <v>373</v>
      </c>
      <c r="F1208" s="71" t="s">
        <v>508</v>
      </c>
      <c r="G1208" s="71" t="s">
        <v>1494</v>
      </c>
      <c r="H1208" s="71" t="s">
        <v>1401</v>
      </c>
      <c r="I1208" s="71" t="s">
        <v>1387</v>
      </c>
    </row>
    <row r="1209" spans="1:9" ht="43.5" x14ac:dyDescent="0.35">
      <c r="A1209">
        <v>7</v>
      </c>
      <c r="B1209">
        <v>259</v>
      </c>
      <c r="C1209" t="s">
        <v>1646</v>
      </c>
      <c r="D1209" s="64">
        <f>VLOOKUP(C1209,'CHAS - Cook Co'!$C$1:$J$2762,2,FALSE) - VLOOKUP(C1209,'CHAS - Chicago'!$C$1:$J$2762,2,FALSE)</f>
        <v>21705</v>
      </c>
      <c r="E1209" t="s">
        <v>366</v>
      </c>
      <c r="F1209" s="71" t="s">
        <v>508</v>
      </c>
      <c r="G1209" s="71" t="s">
        <v>1494</v>
      </c>
      <c r="H1209" s="71" t="s">
        <v>1407</v>
      </c>
      <c r="I1209" s="71" t="s">
        <v>1647</v>
      </c>
    </row>
    <row r="1210" spans="1:9" ht="43.5" x14ac:dyDescent="0.35">
      <c r="A1210">
        <v>7</v>
      </c>
      <c r="B1210">
        <v>260</v>
      </c>
      <c r="C1210" t="s">
        <v>1648</v>
      </c>
      <c r="D1210" s="64">
        <f>VLOOKUP(C1210,'CHAS - Cook Co'!$C$1:$J$2762,2,FALSE) - VLOOKUP(C1210,'CHAS - Chicago'!$C$1:$J$2762,2,FALSE)</f>
        <v>21145</v>
      </c>
      <c r="E1210" t="s">
        <v>373</v>
      </c>
      <c r="F1210" s="71" t="s">
        <v>508</v>
      </c>
      <c r="G1210" s="71" t="s">
        <v>1494</v>
      </c>
      <c r="H1210" s="71" t="s">
        <v>1407</v>
      </c>
      <c r="I1210" s="71" t="s">
        <v>1381</v>
      </c>
    </row>
    <row r="1211" spans="1:9" ht="43.5" x14ac:dyDescent="0.35">
      <c r="A1211">
        <v>7</v>
      </c>
      <c r="B1211">
        <v>261</v>
      </c>
      <c r="C1211" t="s">
        <v>1649</v>
      </c>
      <c r="D1211" s="64">
        <f>VLOOKUP(C1211,'CHAS - Cook Co'!$C$1:$J$2762,2,FALSE) - VLOOKUP(C1211,'CHAS - Chicago'!$C$1:$J$2762,2,FALSE)</f>
        <v>545</v>
      </c>
      <c r="E1211" t="s">
        <v>373</v>
      </c>
      <c r="F1211" s="71" t="s">
        <v>508</v>
      </c>
      <c r="G1211" s="71" t="s">
        <v>1494</v>
      </c>
      <c r="H1211" s="71" t="s">
        <v>1407</v>
      </c>
      <c r="I1211" s="71" t="s">
        <v>1383</v>
      </c>
    </row>
    <row r="1212" spans="1:9" ht="43.5" x14ac:dyDescent="0.35">
      <c r="A1212">
        <v>7</v>
      </c>
      <c r="B1212">
        <v>262</v>
      </c>
      <c r="C1212" t="s">
        <v>1650</v>
      </c>
      <c r="D1212" s="64">
        <f>VLOOKUP(C1212,'CHAS - Cook Co'!$C$1:$J$2762,2,FALSE) - VLOOKUP(C1212,'CHAS - Chicago'!$C$1:$J$2762,2,FALSE)</f>
        <v>15</v>
      </c>
      <c r="E1212" t="s">
        <v>373</v>
      </c>
      <c r="F1212" s="71" t="s">
        <v>508</v>
      </c>
      <c r="G1212" s="71" t="s">
        <v>1494</v>
      </c>
      <c r="H1212" s="71" t="s">
        <v>1407</v>
      </c>
      <c r="I1212" s="71" t="s">
        <v>1385</v>
      </c>
    </row>
    <row r="1213" spans="1:9" ht="43.5" x14ac:dyDescent="0.35">
      <c r="A1213">
        <v>7</v>
      </c>
      <c r="B1213">
        <v>263</v>
      </c>
      <c r="C1213" t="s">
        <v>1651</v>
      </c>
      <c r="D1213" s="64">
        <f>VLOOKUP(C1213,'CHAS - Cook Co'!$C$1:$J$2762,2,FALSE) - VLOOKUP(C1213,'CHAS - Chicago'!$C$1:$J$2762,2,FALSE)</f>
        <v>0</v>
      </c>
      <c r="E1213" t="s">
        <v>373</v>
      </c>
      <c r="F1213" s="71" t="s">
        <v>508</v>
      </c>
      <c r="G1213" s="71" t="s">
        <v>1494</v>
      </c>
      <c r="H1213" s="71" t="s">
        <v>1407</v>
      </c>
      <c r="I1213" s="71" t="s">
        <v>1387</v>
      </c>
    </row>
    <row r="1214" spans="1:9" ht="29" x14ac:dyDescent="0.35">
      <c r="A1214">
        <v>8</v>
      </c>
      <c r="B1214">
        <v>1</v>
      </c>
      <c r="C1214" t="s">
        <v>1652</v>
      </c>
      <c r="D1214" s="64">
        <f>VLOOKUP(C1214,'CHAS - Cook Co'!$C$1:$J$2762,2,FALSE) - VLOOKUP(C1214,'CHAS - Chicago'!$C$1:$J$2762,2,FALSE)</f>
        <v>909025</v>
      </c>
      <c r="E1214" t="s">
        <v>26</v>
      </c>
      <c r="F1214" s="71" t="s">
        <v>361</v>
      </c>
      <c r="G1214" s="71" t="s">
        <v>363</v>
      </c>
      <c r="H1214" s="71" t="s">
        <v>1374</v>
      </c>
      <c r="I1214" s="71" t="s">
        <v>1653</v>
      </c>
    </row>
    <row r="1215" spans="1:9" x14ac:dyDescent="0.35">
      <c r="A1215">
        <v>8</v>
      </c>
      <c r="B1215">
        <v>2</v>
      </c>
      <c r="C1215" t="s">
        <v>1654</v>
      </c>
      <c r="D1215" s="64">
        <f>VLOOKUP(C1215,'CHAS - Cook Co'!$C$1:$J$2762,2,FALSE) - VLOOKUP(C1215,'CHAS - Chicago'!$C$1:$J$2762,2,FALSE)</f>
        <v>645280</v>
      </c>
      <c r="E1215" t="s">
        <v>366</v>
      </c>
      <c r="F1215" s="71" t="s">
        <v>367</v>
      </c>
      <c r="G1215" s="71" t="s">
        <v>363</v>
      </c>
      <c r="H1215" s="71" t="s">
        <v>1374</v>
      </c>
      <c r="I1215" s="71" t="s">
        <v>1653</v>
      </c>
    </row>
    <row r="1216" spans="1:9" ht="29" x14ac:dyDescent="0.35">
      <c r="A1216">
        <v>8</v>
      </c>
      <c r="B1216">
        <v>3</v>
      </c>
      <c r="C1216" t="s">
        <v>1655</v>
      </c>
      <c r="D1216" s="64">
        <f>VLOOKUP(C1216,'CHAS - Cook Co'!$C$1:$J$2762,2,FALSE) - VLOOKUP(C1216,'CHAS - Chicago'!$C$1:$J$2762,2,FALSE)</f>
        <v>55240</v>
      </c>
      <c r="E1216" t="s">
        <v>366</v>
      </c>
      <c r="F1216" s="71" t="s">
        <v>367</v>
      </c>
      <c r="G1216" s="71" t="s">
        <v>371</v>
      </c>
      <c r="H1216" s="71" t="s">
        <v>1374</v>
      </c>
      <c r="I1216" s="71" t="s">
        <v>1653</v>
      </c>
    </row>
    <row r="1217" spans="1:9" ht="29" x14ac:dyDescent="0.35">
      <c r="A1217">
        <v>8</v>
      </c>
      <c r="B1217">
        <v>4</v>
      </c>
      <c r="C1217" t="s">
        <v>1656</v>
      </c>
      <c r="D1217" s="64">
        <f>VLOOKUP(C1217,'CHAS - Cook Co'!$C$1:$J$2762,2,FALSE) - VLOOKUP(C1217,'CHAS - Chicago'!$C$1:$J$2762,2,FALSE)</f>
        <v>4275</v>
      </c>
      <c r="E1217" t="s">
        <v>366</v>
      </c>
      <c r="F1217" s="71" t="s">
        <v>367</v>
      </c>
      <c r="G1217" s="71" t="s">
        <v>371</v>
      </c>
      <c r="H1217" s="71" t="s">
        <v>1657</v>
      </c>
      <c r="I1217" s="71" t="s">
        <v>1653</v>
      </c>
    </row>
    <row r="1218" spans="1:9" ht="43.5" x14ac:dyDescent="0.35">
      <c r="A1218">
        <v>8</v>
      </c>
      <c r="B1218">
        <v>5</v>
      </c>
      <c r="C1218" t="s">
        <v>1658</v>
      </c>
      <c r="D1218" s="64">
        <f>VLOOKUP(C1218,'CHAS - Cook Co'!$C$1:$J$2762,2,FALSE) - VLOOKUP(C1218,'CHAS - Chicago'!$C$1:$J$2762,2,FALSE)</f>
        <v>45</v>
      </c>
      <c r="E1218" t="s">
        <v>373</v>
      </c>
      <c r="F1218" s="71" t="s">
        <v>367</v>
      </c>
      <c r="G1218" s="71" t="s">
        <v>371</v>
      </c>
      <c r="H1218" s="71" t="s">
        <v>1657</v>
      </c>
      <c r="I1218" s="71" t="s">
        <v>1659</v>
      </c>
    </row>
    <row r="1219" spans="1:9" ht="43.5" x14ac:dyDescent="0.35">
      <c r="A1219">
        <v>8</v>
      </c>
      <c r="B1219">
        <v>6</v>
      </c>
      <c r="C1219" t="s">
        <v>1660</v>
      </c>
      <c r="D1219" s="64">
        <f>VLOOKUP(C1219,'CHAS - Cook Co'!$C$1:$J$2762,2,FALSE) - VLOOKUP(C1219,'CHAS - Chicago'!$C$1:$J$2762,2,FALSE)</f>
        <v>4230</v>
      </c>
      <c r="E1219" t="s">
        <v>373</v>
      </c>
      <c r="F1219" s="71" t="s">
        <v>367</v>
      </c>
      <c r="G1219" s="71" t="s">
        <v>371</v>
      </c>
      <c r="H1219" s="71" t="s">
        <v>1657</v>
      </c>
      <c r="I1219" s="71" t="s">
        <v>1661</v>
      </c>
    </row>
    <row r="1220" spans="1:9" ht="29" x14ac:dyDescent="0.35">
      <c r="A1220">
        <v>8</v>
      </c>
      <c r="B1220">
        <v>7</v>
      </c>
      <c r="C1220" t="s">
        <v>1662</v>
      </c>
      <c r="D1220" s="64">
        <f>VLOOKUP(C1220,'CHAS - Cook Co'!$C$1:$J$2762,2,FALSE) - VLOOKUP(C1220,'CHAS - Chicago'!$C$1:$J$2762,2,FALSE)</f>
        <v>7785</v>
      </c>
      <c r="E1220" t="s">
        <v>366</v>
      </c>
      <c r="F1220" s="71" t="s">
        <v>367</v>
      </c>
      <c r="G1220" s="71" t="s">
        <v>371</v>
      </c>
      <c r="H1220" s="71" t="s">
        <v>1663</v>
      </c>
      <c r="I1220" s="71" t="s">
        <v>1653</v>
      </c>
    </row>
    <row r="1221" spans="1:9" ht="43.5" x14ac:dyDescent="0.35">
      <c r="A1221">
        <v>8</v>
      </c>
      <c r="B1221">
        <v>8</v>
      </c>
      <c r="C1221" t="s">
        <v>1664</v>
      </c>
      <c r="D1221" s="64">
        <f>VLOOKUP(C1221,'CHAS - Cook Co'!$C$1:$J$2762,2,FALSE) - VLOOKUP(C1221,'CHAS - Chicago'!$C$1:$J$2762,2,FALSE)</f>
        <v>35</v>
      </c>
      <c r="E1221" t="s">
        <v>373</v>
      </c>
      <c r="F1221" s="71" t="s">
        <v>367</v>
      </c>
      <c r="G1221" s="71" t="s">
        <v>371</v>
      </c>
      <c r="H1221" s="71" t="s">
        <v>1663</v>
      </c>
      <c r="I1221" s="71" t="s">
        <v>1659</v>
      </c>
    </row>
    <row r="1222" spans="1:9" ht="43.5" x14ac:dyDescent="0.35">
      <c r="A1222">
        <v>8</v>
      </c>
      <c r="B1222">
        <v>9</v>
      </c>
      <c r="C1222" t="s">
        <v>1665</v>
      </c>
      <c r="D1222" s="64">
        <f>VLOOKUP(C1222,'CHAS - Cook Co'!$C$1:$J$2762,2,FALSE) - VLOOKUP(C1222,'CHAS - Chicago'!$C$1:$J$2762,2,FALSE)</f>
        <v>7745</v>
      </c>
      <c r="E1222" t="s">
        <v>373</v>
      </c>
      <c r="F1222" s="71" t="s">
        <v>367</v>
      </c>
      <c r="G1222" s="71" t="s">
        <v>371</v>
      </c>
      <c r="H1222" s="71" t="s">
        <v>1663</v>
      </c>
      <c r="I1222" s="71" t="s">
        <v>1661</v>
      </c>
    </row>
    <row r="1223" spans="1:9" ht="29" x14ac:dyDescent="0.35">
      <c r="A1223">
        <v>8</v>
      </c>
      <c r="B1223">
        <v>10</v>
      </c>
      <c r="C1223" t="s">
        <v>1666</v>
      </c>
      <c r="D1223" s="64">
        <f>VLOOKUP(C1223,'CHAS - Cook Co'!$C$1:$J$2762,2,FALSE) - VLOOKUP(C1223,'CHAS - Chicago'!$C$1:$J$2762,2,FALSE)</f>
        <v>37560</v>
      </c>
      <c r="E1223" t="s">
        <v>366</v>
      </c>
      <c r="F1223" s="71" t="s">
        <v>367</v>
      </c>
      <c r="G1223" s="71" t="s">
        <v>371</v>
      </c>
      <c r="H1223" s="71" t="s">
        <v>1667</v>
      </c>
      <c r="I1223" s="71" t="s">
        <v>1653</v>
      </c>
    </row>
    <row r="1224" spans="1:9" ht="43.5" x14ac:dyDescent="0.35">
      <c r="A1224">
        <v>8</v>
      </c>
      <c r="B1224">
        <v>11</v>
      </c>
      <c r="C1224" t="s">
        <v>1668</v>
      </c>
      <c r="D1224" s="64">
        <f>VLOOKUP(C1224,'CHAS - Cook Co'!$C$1:$J$2762,2,FALSE) - VLOOKUP(C1224,'CHAS - Chicago'!$C$1:$J$2762,2,FALSE)</f>
        <v>200</v>
      </c>
      <c r="E1224" t="s">
        <v>373</v>
      </c>
      <c r="F1224" s="71" t="s">
        <v>367</v>
      </c>
      <c r="G1224" s="71" t="s">
        <v>371</v>
      </c>
      <c r="H1224" s="71" t="s">
        <v>1667</v>
      </c>
      <c r="I1224" s="71" t="s">
        <v>1659</v>
      </c>
    </row>
    <row r="1225" spans="1:9" ht="43.5" x14ac:dyDescent="0.35">
      <c r="A1225">
        <v>8</v>
      </c>
      <c r="B1225">
        <v>12</v>
      </c>
      <c r="C1225" t="s">
        <v>1669</v>
      </c>
      <c r="D1225" s="64">
        <f>VLOOKUP(C1225,'CHAS - Cook Co'!$C$1:$J$2762,2,FALSE) - VLOOKUP(C1225,'CHAS - Chicago'!$C$1:$J$2762,2,FALSE)</f>
        <v>37360</v>
      </c>
      <c r="E1225" t="s">
        <v>373</v>
      </c>
      <c r="F1225" s="71" t="s">
        <v>367</v>
      </c>
      <c r="G1225" s="71" t="s">
        <v>371</v>
      </c>
      <c r="H1225" s="71" t="s">
        <v>1667</v>
      </c>
      <c r="I1225" s="71" t="s">
        <v>1661</v>
      </c>
    </row>
    <row r="1226" spans="1:9" ht="29" x14ac:dyDescent="0.35">
      <c r="A1226">
        <v>8</v>
      </c>
      <c r="B1226">
        <v>13</v>
      </c>
      <c r="C1226" t="s">
        <v>1670</v>
      </c>
      <c r="D1226" s="64">
        <f>VLOOKUP(C1226,'CHAS - Cook Co'!$C$1:$J$2762,2,FALSE) - VLOOKUP(C1226,'CHAS - Chicago'!$C$1:$J$2762,2,FALSE)</f>
        <v>5620</v>
      </c>
      <c r="E1226" t="s">
        <v>366</v>
      </c>
      <c r="F1226" s="71" t="s">
        <v>367</v>
      </c>
      <c r="G1226" s="71" t="s">
        <v>371</v>
      </c>
      <c r="H1226" s="71" t="s">
        <v>1671</v>
      </c>
      <c r="I1226" s="71" t="s">
        <v>1653</v>
      </c>
    </row>
    <row r="1227" spans="1:9" ht="43.5" x14ac:dyDescent="0.35">
      <c r="A1227">
        <v>8</v>
      </c>
      <c r="B1227">
        <v>14</v>
      </c>
      <c r="C1227" t="s">
        <v>1672</v>
      </c>
      <c r="D1227" s="64">
        <f>VLOOKUP(C1227,'CHAS - Cook Co'!$C$1:$J$2762,2,FALSE) - VLOOKUP(C1227,'CHAS - Chicago'!$C$1:$J$2762,2,FALSE)</f>
        <v>65</v>
      </c>
      <c r="E1227" t="s">
        <v>373</v>
      </c>
      <c r="F1227" s="71" t="s">
        <v>367</v>
      </c>
      <c r="G1227" s="71" t="s">
        <v>371</v>
      </c>
      <c r="H1227" s="71" t="s">
        <v>1671</v>
      </c>
      <c r="I1227" s="71" t="s">
        <v>1659</v>
      </c>
    </row>
    <row r="1228" spans="1:9" ht="43.5" x14ac:dyDescent="0.35">
      <c r="A1228">
        <v>8</v>
      </c>
      <c r="B1228">
        <v>15</v>
      </c>
      <c r="C1228" t="s">
        <v>1673</v>
      </c>
      <c r="D1228" s="64">
        <f>VLOOKUP(C1228,'CHAS - Cook Co'!$C$1:$J$2762,2,FALSE) - VLOOKUP(C1228,'CHAS - Chicago'!$C$1:$J$2762,2,FALSE)</f>
        <v>5560</v>
      </c>
      <c r="E1228" t="s">
        <v>373</v>
      </c>
      <c r="F1228" s="71" t="s">
        <v>367</v>
      </c>
      <c r="G1228" s="71" t="s">
        <v>371</v>
      </c>
      <c r="H1228" s="71" t="s">
        <v>1671</v>
      </c>
      <c r="I1228" s="71" t="s">
        <v>1661</v>
      </c>
    </row>
    <row r="1229" spans="1:9" ht="43.5" x14ac:dyDescent="0.35">
      <c r="A1229">
        <v>8</v>
      </c>
      <c r="B1229">
        <v>16</v>
      </c>
      <c r="C1229" t="s">
        <v>1674</v>
      </c>
      <c r="D1229" s="64">
        <f>VLOOKUP(C1229,'CHAS - Cook Co'!$C$1:$J$2762,2,FALSE) - VLOOKUP(C1229,'CHAS - Chicago'!$C$1:$J$2762,2,FALSE)</f>
        <v>66330</v>
      </c>
      <c r="E1229" t="s">
        <v>366</v>
      </c>
      <c r="F1229" s="71" t="s">
        <v>367</v>
      </c>
      <c r="G1229" s="71" t="s">
        <v>388</v>
      </c>
      <c r="H1229" s="71" t="s">
        <v>1374</v>
      </c>
      <c r="I1229" s="71" t="s">
        <v>1653</v>
      </c>
    </row>
    <row r="1230" spans="1:9" ht="43.5" x14ac:dyDescent="0.35">
      <c r="A1230">
        <v>8</v>
      </c>
      <c r="B1230">
        <v>17</v>
      </c>
      <c r="C1230" t="s">
        <v>1675</v>
      </c>
      <c r="D1230" s="64">
        <f>VLOOKUP(C1230,'CHAS - Cook Co'!$C$1:$J$2762,2,FALSE) - VLOOKUP(C1230,'CHAS - Chicago'!$C$1:$J$2762,2,FALSE)</f>
        <v>20330</v>
      </c>
      <c r="E1230" t="s">
        <v>366</v>
      </c>
      <c r="F1230" s="71" t="s">
        <v>367</v>
      </c>
      <c r="G1230" s="71" t="s">
        <v>388</v>
      </c>
      <c r="H1230" s="71" t="s">
        <v>1657</v>
      </c>
      <c r="I1230" s="71" t="s">
        <v>1653</v>
      </c>
    </row>
    <row r="1231" spans="1:9" ht="43.5" x14ac:dyDescent="0.35">
      <c r="A1231">
        <v>8</v>
      </c>
      <c r="B1231">
        <v>18</v>
      </c>
      <c r="C1231" t="s">
        <v>1676</v>
      </c>
      <c r="D1231" s="64">
        <f>VLOOKUP(C1231,'CHAS - Cook Co'!$C$1:$J$2762,2,FALSE) - VLOOKUP(C1231,'CHAS - Chicago'!$C$1:$J$2762,2,FALSE)</f>
        <v>85</v>
      </c>
      <c r="E1231" t="s">
        <v>373</v>
      </c>
      <c r="F1231" s="71" t="s">
        <v>367</v>
      </c>
      <c r="G1231" s="71" t="s">
        <v>388</v>
      </c>
      <c r="H1231" s="71" t="s">
        <v>1657</v>
      </c>
      <c r="I1231" s="71" t="s">
        <v>1659</v>
      </c>
    </row>
    <row r="1232" spans="1:9" ht="43.5" x14ac:dyDescent="0.35">
      <c r="A1232">
        <v>8</v>
      </c>
      <c r="B1232">
        <v>19</v>
      </c>
      <c r="C1232" t="s">
        <v>1677</v>
      </c>
      <c r="D1232" s="64">
        <f>VLOOKUP(C1232,'CHAS - Cook Co'!$C$1:$J$2762,2,FALSE) - VLOOKUP(C1232,'CHAS - Chicago'!$C$1:$J$2762,2,FALSE)</f>
        <v>20245</v>
      </c>
      <c r="E1232" t="s">
        <v>373</v>
      </c>
      <c r="F1232" s="71" t="s">
        <v>367</v>
      </c>
      <c r="G1232" s="71" t="s">
        <v>388</v>
      </c>
      <c r="H1232" s="71" t="s">
        <v>1657</v>
      </c>
      <c r="I1232" s="71" t="s">
        <v>1661</v>
      </c>
    </row>
    <row r="1233" spans="1:9" ht="43.5" x14ac:dyDescent="0.35">
      <c r="A1233">
        <v>8</v>
      </c>
      <c r="B1233">
        <v>20</v>
      </c>
      <c r="C1233" t="s">
        <v>1678</v>
      </c>
      <c r="D1233" s="64">
        <f>VLOOKUP(C1233,'CHAS - Cook Co'!$C$1:$J$2762,2,FALSE) - VLOOKUP(C1233,'CHAS - Chicago'!$C$1:$J$2762,2,FALSE)</f>
        <v>21695</v>
      </c>
      <c r="E1233" t="s">
        <v>366</v>
      </c>
      <c r="F1233" s="71" t="s">
        <v>367</v>
      </c>
      <c r="G1233" s="71" t="s">
        <v>388</v>
      </c>
      <c r="H1233" s="71" t="s">
        <v>1663</v>
      </c>
      <c r="I1233" s="71" t="s">
        <v>1653</v>
      </c>
    </row>
    <row r="1234" spans="1:9" ht="43.5" x14ac:dyDescent="0.35">
      <c r="A1234">
        <v>8</v>
      </c>
      <c r="B1234">
        <v>21</v>
      </c>
      <c r="C1234" t="s">
        <v>1679</v>
      </c>
      <c r="D1234" s="64">
        <f>VLOOKUP(C1234,'CHAS - Cook Co'!$C$1:$J$2762,2,FALSE) - VLOOKUP(C1234,'CHAS - Chicago'!$C$1:$J$2762,2,FALSE)</f>
        <v>70</v>
      </c>
      <c r="E1234" t="s">
        <v>373</v>
      </c>
      <c r="F1234" s="71" t="s">
        <v>367</v>
      </c>
      <c r="G1234" s="71" t="s">
        <v>388</v>
      </c>
      <c r="H1234" s="71" t="s">
        <v>1663</v>
      </c>
      <c r="I1234" s="71" t="s">
        <v>1659</v>
      </c>
    </row>
    <row r="1235" spans="1:9" ht="43.5" x14ac:dyDescent="0.35">
      <c r="A1235">
        <v>8</v>
      </c>
      <c r="B1235">
        <v>22</v>
      </c>
      <c r="C1235" t="s">
        <v>1680</v>
      </c>
      <c r="D1235" s="64">
        <f>VLOOKUP(C1235,'CHAS - Cook Co'!$C$1:$J$2762,2,FALSE) - VLOOKUP(C1235,'CHAS - Chicago'!$C$1:$J$2762,2,FALSE)</f>
        <v>21625</v>
      </c>
      <c r="E1235" t="s">
        <v>373</v>
      </c>
      <c r="F1235" s="71" t="s">
        <v>367</v>
      </c>
      <c r="G1235" s="71" t="s">
        <v>388</v>
      </c>
      <c r="H1235" s="71" t="s">
        <v>1663</v>
      </c>
      <c r="I1235" s="71" t="s">
        <v>1661</v>
      </c>
    </row>
    <row r="1236" spans="1:9" ht="43.5" x14ac:dyDescent="0.35">
      <c r="A1236">
        <v>8</v>
      </c>
      <c r="B1236">
        <v>23</v>
      </c>
      <c r="C1236" t="s">
        <v>1681</v>
      </c>
      <c r="D1236" s="64">
        <f>VLOOKUP(C1236,'CHAS - Cook Co'!$C$1:$J$2762,2,FALSE) - VLOOKUP(C1236,'CHAS - Chicago'!$C$1:$J$2762,2,FALSE)</f>
        <v>24300</v>
      </c>
      <c r="E1236" t="s">
        <v>366</v>
      </c>
      <c r="F1236" s="71" t="s">
        <v>367</v>
      </c>
      <c r="G1236" s="71" t="s">
        <v>388</v>
      </c>
      <c r="H1236" s="71" t="s">
        <v>1667</v>
      </c>
      <c r="I1236" s="71" t="s">
        <v>1653</v>
      </c>
    </row>
    <row r="1237" spans="1:9" ht="43.5" x14ac:dyDescent="0.35">
      <c r="A1237">
        <v>8</v>
      </c>
      <c r="B1237">
        <v>24</v>
      </c>
      <c r="C1237" t="s">
        <v>1682</v>
      </c>
      <c r="D1237" s="64">
        <f>VLOOKUP(C1237,'CHAS - Cook Co'!$C$1:$J$2762,2,FALSE) - VLOOKUP(C1237,'CHAS - Chicago'!$C$1:$J$2762,2,FALSE)</f>
        <v>110</v>
      </c>
      <c r="E1237" t="s">
        <v>373</v>
      </c>
      <c r="F1237" s="71" t="s">
        <v>367</v>
      </c>
      <c r="G1237" s="71" t="s">
        <v>388</v>
      </c>
      <c r="H1237" s="71" t="s">
        <v>1667</v>
      </c>
      <c r="I1237" s="71" t="s">
        <v>1659</v>
      </c>
    </row>
    <row r="1238" spans="1:9" ht="43.5" x14ac:dyDescent="0.35">
      <c r="A1238">
        <v>8</v>
      </c>
      <c r="B1238">
        <v>25</v>
      </c>
      <c r="C1238" t="s">
        <v>1683</v>
      </c>
      <c r="D1238" s="64">
        <f>VLOOKUP(C1238,'CHAS - Cook Co'!$C$1:$J$2762,2,FALSE) - VLOOKUP(C1238,'CHAS - Chicago'!$C$1:$J$2762,2,FALSE)</f>
        <v>24190</v>
      </c>
      <c r="E1238" t="s">
        <v>373</v>
      </c>
      <c r="F1238" s="71" t="s">
        <v>367</v>
      </c>
      <c r="G1238" s="71" t="s">
        <v>388</v>
      </c>
      <c r="H1238" s="71" t="s">
        <v>1667</v>
      </c>
      <c r="I1238" s="71" t="s">
        <v>1661</v>
      </c>
    </row>
    <row r="1239" spans="1:9" ht="43.5" x14ac:dyDescent="0.35">
      <c r="A1239">
        <v>8</v>
      </c>
      <c r="B1239">
        <v>26</v>
      </c>
      <c r="C1239" t="s">
        <v>1684</v>
      </c>
      <c r="D1239" s="64">
        <f>VLOOKUP(C1239,'CHAS - Cook Co'!$C$1:$J$2762,2,FALSE) - VLOOKUP(C1239,'CHAS - Chicago'!$C$1:$J$2762,2,FALSE)</f>
        <v>0</v>
      </c>
      <c r="E1239" t="s">
        <v>366</v>
      </c>
      <c r="F1239" s="71" t="s">
        <v>367</v>
      </c>
      <c r="G1239" s="71" t="s">
        <v>388</v>
      </c>
      <c r="H1239" s="71" t="s">
        <v>1671</v>
      </c>
      <c r="I1239" s="71" t="s">
        <v>1653</v>
      </c>
    </row>
    <row r="1240" spans="1:9" ht="43.5" x14ac:dyDescent="0.35">
      <c r="A1240">
        <v>8</v>
      </c>
      <c r="B1240">
        <v>27</v>
      </c>
      <c r="C1240" t="s">
        <v>1685</v>
      </c>
      <c r="D1240" s="64">
        <f>VLOOKUP(C1240,'CHAS - Cook Co'!$C$1:$J$2762,2,FALSE) - VLOOKUP(C1240,'CHAS - Chicago'!$C$1:$J$2762,2,FALSE)</f>
        <v>0</v>
      </c>
      <c r="E1240" t="s">
        <v>373</v>
      </c>
      <c r="F1240" s="71" t="s">
        <v>367</v>
      </c>
      <c r="G1240" s="71" t="s">
        <v>388</v>
      </c>
      <c r="H1240" s="71" t="s">
        <v>1671</v>
      </c>
      <c r="I1240" s="71" t="s">
        <v>1659</v>
      </c>
    </row>
    <row r="1241" spans="1:9" ht="43.5" x14ac:dyDescent="0.35">
      <c r="A1241">
        <v>8</v>
      </c>
      <c r="B1241">
        <v>28</v>
      </c>
      <c r="C1241" t="s">
        <v>1686</v>
      </c>
      <c r="D1241" s="64">
        <f>VLOOKUP(C1241,'CHAS - Cook Co'!$C$1:$J$2762,2,FALSE) - VLOOKUP(C1241,'CHAS - Chicago'!$C$1:$J$2762,2,FALSE)</f>
        <v>0</v>
      </c>
      <c r="E1241" t="s">
        <v>373</v>
      </c>
      <c r="F1241" s="71" t="s">
        <v>367</v>
      </c>
      <c r="G1241" s="71" t="s">
        <v>388</v>
      </c>
      <c r="H1241" s="71" t="s">
        <v>1671</v>
      </c>
      <c r="I1241" s="71" t="s">
        <v>1661</v>
      </c>
    </row>
    <row r="1242" spans="1:9" ht="43.5" x14ac:dyDescent="0.35">
      <c r="A1242">
        <v>8</v>
      </c>
      <c r="B1242">
        <v>29</v>
      </c>
      <c r="C1242" t="s">
        <v>1687</v>
      </c>
      <c r="D1242" s="64">
        <f>VLOOKUP(C1242,'CHAS - Cook Co'!$C$1:$J$2762,2,FALSE) - VLOOKUP(C1242,'CHAS - Chicago'!$C$1:$J$2762,2,FALSE)</f>
        <v>102890</v>
      </c>
      <c r="E1242" t="s">
        <v>366</v>
      </c>
      <c r="F1242" s="71" t="s">
        <v>367</v>
      </c>
      <c r="G1242" s="71" t="s">
        <v>397</v>
      </c>
      <c r="H1242" s="71" t="s">
        <v>1374</v>
      </c>
      <c r="I1242" s="71" t="s">
        <v>1653</v>
      </c>
    </row>
    <row r="1243" spans="1:9" ht="43.5" x14ac:dyDescent="0.35">
      <c r="A1243">
        <v>8</v>
      </c>
      <c r="B1243">
        <v>30</v>
      </c>
      <c r="C1243" t="s">
        <v>1688</v>
      </c>
      <c r="D1243" s="64">
        <f>VLOOKUP(C1243,'CHAS - Cook Co'!$C$1:$J$2762,2,FALSE) - VLOOKUP(C1243,'CHAS - Chicago'!$C$1:$J$2762,2,FALSE)</f>
        <v>52925</v>
      </c>
      <c r="E1243" t="s">
        <v>366</v>
      </c>
      <c r="F1243" s="71" t="s">
        <v>367</v>
      </c>
      <c r="G1243" s="71" t="s">
        <v>397</v>
      </c>
      <c r="H1243" s="71" t="s">
        <v>1657</v>
      </c>
      <c r="I1243" s="71" t="s">
        <v>1653</v>
      </c>
    </row>
    <row r="1244" spans="1:9" ht="43.5" x14ac:dyDescent="0.35">
      <c r="A1244">
        <v>8</v>
      </c>
      <c r="B1244">
        <v>31</v>
      </c>
      <c r="C1244" t="s">
        <v>1689</v>
      </c>
      <c r="D1244" s="64">
        <f>VLOOKUP(C1244,'CHAS - Cook Co'!$C$1:$J$2762,2,FALSE) - VLOOKUP(C1244,'CHAS - Chicago'!$C$1:$J$2762,2,FALSE)</f>
        <v>160</v>
      </c>
      <c r="E1244" t="s">
        <v>373</v>
      </c>
      <c r="F1244" s="71" t="s">
        <v>367</v>
      </c>
      <c r="G1244" s="71" t="s">
        <v>397</v>
      </c>
      <c r="H1244" s="71" t="s">
        <v>1657</v>
      </c>
      <c r="I1244" s="71" t="s">
        <v>1659</v>
      </c>
    </row>
    <row r="1245" spans="1:9" ht="43.5" x14ac:dyDescent="0.35">
      <c r="A1245">
        <v>8</v>
      </c>
      <c r="B1245">
        <v>32</v>
      </c>
      <c r="C1245" t="s">
        <v>1690</v>
      </c>
      <c r="D1245" s="64">
        <f>VLOOKUP(C1245,'CHAS - Cook Co'!$C$1:$J$2762,2,FALSE) - VLOOKUP(C1245,'CHAS - Chicago'!$C$1:$J$2762,2,FALSE)</f>
        <v>52765</v>
      </c>
      <c r="E1245" t="s">
        <v>373</v>
      </c>
      <c r="F1245" s="71" t="s">
        <v>367</v>
      </c>
      <c r="G1245" s="71" t="s">
        <v>397</v>
      </c>
      <c r="H1245" s="71" t="s">
        <v>1657</v>
      </c>
      <c r="I1245" s="71" t="s">
        <v>1661</v>
      </c>
    </row>
    <row r="1246" spans="1:9" ht="43.5" x14ac:dyDescent="0.35">
      <c r="A1246">
        <v>8</v>
      </c>
      <c r="B1246">
        <v>33</v>
      </c>
      <c r="C1246" t="s">
        <v>1691</v>
      </c>
      <c r="D1246" s="64">
        <f>VLOOKUP(C1246,'CHAS - Cook Co'!$C$1:$J$2762,2,FALSE) - VLOOKUP(C1246,'CHAS - Chicago'!$C$1:$J$2762,2,FALSE)</f>
        <v>34885</v>
      </c>
      <c r="E1246" t="s">
        <v>366</v>
      </c>
      <c r="F1246" s="71" t="s">
        <v>367</v>
      </c>
      <c r="G1246" s="71" t="s">
        <v>397</v>
      </c>
      <c r="H1246" s="71" t="s">
        <v>1663</v>
      </c>
      <c r="I1246" s="71" t="s">
        <v>1653</v>
      </c>
    </row>
    <row r="1247" spans="1:9" ht="43.5" x14ac:dyDescent="0.35">
      <c r="A1247">
        <v>8</v>
      </c>
      <c r="B1247">
        <v>34</v>
      </c>
      <c r="C1247" t="s">
        <v>1692</v>
      </c>
      <c r="D1247" s="64">
        <f>VLOOKUP(C1247,'CHAS - Cook Co'!$C$1:$J$2762,2,FALSE) - VLOOKUP(C1247,'CHAS - Chicago'!$C$1:$J$2762,2,FALSE)</f>
        <v>85</v>
      </c>
      <c r="E1247" t="s">
        <v>373</v>
      </c>
      <c r="F1247" s="71" t="s">
        <v>367</v>
      </c>
      <c r="G1247" s="71" t="s">
        <v>397</v>
      </c>
      <c r="H1247" s="71" t="s">
        <v>1663</v>
      </c>
      <c r="I1247" s="71" t="s">
        <v>1659</v>
      </c>
    </row>
    <row r="1248" spans="1:9" ht="43.5" x14ac:dyDescent="0.35">
      <c r="A1248">
        <v>8</v>
      </c>
      <c r="B1248">
        <v>35</v>
      </c>
      <c r="C1248" t="s">
        <v>1693</v>
      </c>
      <c r="D1248" s="64">
        <f>VLOOKUP(C1248,'CHAS - Cook Co'!$C$1:$J$2762,2,FALSE) - VLOOKUP(C1248,'CHAS - Chicago'!$C$1:$J$2762,2,FALSE)</f>
        <v>34795</v>
      </c>
      <c r="E1248" t="s">
        <v>373</v>
      </c>
      <c r="F1248" s="71" t="s">
        <v>367</v>
      </c>
      <c r="G1248" s="71" t="s">
        <v>397</v>
      </c>
      <c r="H1248" s="71" t="s">
        <v>1663</v>
      </c>
      <c r="I1248" s="71" t="s">
        <v>1661</v>
      </c>
    </row>
    <row r="1249" spans="1:9" ht="43.5" x14ac:dyDescent="0.35">
      <c r="A1249">
        <v>8</v>
      </c>
      <c r="B1249">
        <v>36</v>
      </c>
      <c r="C1249" t="s">
        <v>1694</v>
      </c>
      <c r="D1249" s="64">
        <f>VLOOKUP(C1249,'CHAS - Cook Co'!$C$1:$J$2762,2,FALSE) - VLOOKUP(C1249,'CHAS - Chicago'!$C$1:$J$2762,2,FALSE)</f>
        <v>15080</v>
      </c>
      <c r="E1249" t="s">
        <v>366</v>
      </c>
      <c r="F1249" s="71" t="s">
        <v>367</v>
      </c>
      <c r="G1249" s="71" t="s">
        <v>397</v>
      </c>
      <c r="H1249" s="71" t="s">
        <v>1667</v>
      </c>
      <c r="I1249" s="71" t="s">
        <v>1653</v>
      </c>
    </row>
    <row r="1250" spans="1:9" ht="43.5" x14ac:dyDescent="0.35">
      <c r="A1250">
        <v>8</v>
      </c>
      <c r="B1250">
        <v>37</v>
      </c>
      <c r="C1250" t="s">
        <v>1695</v>
      </c>
      <c r="D1250" s="64">
        <f>VLOOKUP(C1250,'CHAS - Cook Co'!$C$1:$J$2762,2,FALSE) - VLOOKUP(C1250,'CHAS - Chicago'!$C$1:$J$2762,2,FALSE)</f>
        <v>80</v>
      </c>
      <c r="E1250" t="s">
        <v>373</v>
      </c>
      <c r="F1250" s="71" t="s">
        <v>367</v>
      </c>
      <c r="G1250" s="71" t="s">
        <v>397</v>
      </c>
      <c r="H1250" s="71" t="s">
        <v>1667</v>
      </c>
      <c r="I1250" s="71" t="s">
        <v>1659</v>
      </c>
    </row>
    <row r="1251" spans="1:9" ht="43.5" x14ac:dyDescent="0.35">
      <c r="A1251">
        <v>8</v>
      </c>
      <c r="B1251">
        <v>38</v>
      </c>
      <c r="C1251" t="s">
        <v>1696</v>
      </c>
      <c r="D1251" s="64">
        <f>VLOOKUP(C1251,'CHAS - Cook Co'!$C$1:$J$2762,2,FALSE) - VLOOKUP(C1251,'CHAS - Chicago'!$C$1:$J$2762,2,FALSE)</f>
        <v>15000</v>
      </c>
      <c r="E1251" t="s">
        <v>373</v>
      </c>
      <c r="F1251" s="71" t="s">
        <v>367</v>
      </c>
      <c r="G1251" s="71" t="s">
        <v>397</v>
      </c>
      <c r="H1251" s="71" t="s">
        <v>1667</v>
      </c>
      <c r="I1251" s="71" t="s">
        <v>1661</v>
      </c>
    </row>
    <row r="1252" spans="1:9" ht="43.5" x14ac:dyDescent="0.35">
      <c r="A1252">
        <v>8</v>
      </c>
      <c r="B1252">
        <v>39</v>
      </c>
      <c r="C1252" t="s">
        <v>1697</v>
      </c>
      <c r="D1252" s="64">
        <f>VLOOKUP(C1252,'CHAS - Cook Co'!$C$1:$J$2762,2,FALSE) - VLOOKUP(C1252,'CHAS - Chicago'!$C$1:$J$2762,2,FALSE)</f>
        <v>0</v>
      </c>
      <c r="E1252" t="s">
        <v>366</v>
      </c>
      <c r="F1252" s="71" t="s">
        <v>367</v>
      </c>
      <c r="G1252" s="71" t="s">
        <v>397</v>
      </c>
      <c r="H1252" s="71" t="s">
        <v>1671</v>
      </c>
      <c r="I1252" s="71" t="s">
        <v>1653</v>
      </c>
    </row>
    <row r="1253" spans="1:9" ht="43.5" x14ac:dyDescent="0.35">
      <c r="A1253">
        <v>8</v>
      </c>
      <c r="B1253">
        <v>40</v>
      </c>
      <c r="C1253" t="s">
        <v>1698</v>
      </c>
      <c r="D1253" s="64">
        <f>VLOOKUP(C1253,'CHAS - Cook Co'!$C$1:$J$2762,2,FALSE) - VLOOKUP(C1253,'CHAS - Chicago'!$C$1:$J$2762,2,FALSE)</f>
        <v>0</v>
      </c>
      <c r="E1253" t="s">
        <v>373</v>
      </c>
      <c r="F1253" s="71" t="s">
        <v>367</v>
      </c>
      <c r="G1253" s="71" t="s">
        <v>397</v>
      </c>
      <c r="H1253" s="71" t="s">
        <v>1671</v>
      </c>
      <c r="I1253" s="71" t="s">
        <v>1659</v>
      </c>
    </row>
    <row r="1254" spans="1:9" ht="43.5" x14ac:dyDescent="0.35">
      <c r="A1254">
        <v>8</v>
      </c>
      <c r="B1254">
        <v>41</v>
      </c>
      <c r="C1254" t="s">
        <v>1699</v>
      </c>
      <c r="D1254" s="64">
        <f>VLOOKUP(C1254,'CHAS - Cook Co'!$C$1:$J$2762,2,FALSE) - VLOOKUP(C1254,'CHAS - Chicago'!$C$1:$J$2762,2,FALSE)</f>
        <v>0</v>
      </c>
      <c r="E1254" t="s">
        <v>373</v>
      </c>
      <c r="F1254" s="71" t="s">
        <v>367</v>
      </c>
      <c r="G1254" s="71" t="s">
        <v>397</v>
      </c>
      <c r="H1254" s="71" t="s">
        <v>1671</v>
      </c>
      <c r="I1254" s="71" t="s">
        <v>1661</v>
      </c>
    </row>
    <row r="1255" spans="1:9" ht="43.5" x14ac:dyDescent="0.35">
      <c r="A1255">
        <v>8</v>
      </c>
      <c r="B1255">
        <v>42</v>
      </c>
      <c r="C1255" t="s">
        <v>1700</v>
      </c>
      <c r="D1255" s="64">
        <f>VLOOKUP(C1255,'CHAS - Cook Co'!$C$1:$J$2762,2,FALSE) - VLOOKUP(C1255,'CHAS - Chicago'!$C$1:$J$2762,2,FALSE)</f>
        <v>69210</v>
      </c>
      <c r="E1255" t="s">
        <v>366</v>
      </c>
      <c r="F1255" s="71" t="s">
        <v>367</v>
      </c>
      <c r="G1255" s="71" t="s">
        <v>406</v>
      </c>
      <c r="H1255" s="71" t="s">
        <v>1374</v>
      </c>
      <c r="I1255" s="71" t="s">
        <v>1653</v>
      </c>
    </row>
    <row r="1256" spans="1:9" ht="43.5" x14ac:dyDescent="0.35">
      <c r="A1256">
        <v>8</v>
      </c>
      <c r="B1256">
        <v>43</v>
      </c>
      <c r="C1256" t="s">
        <v>1701</v>
      </c>
      <c r="D1256" s="64">
        <f>VLOOKUP(C1256,'CHAS - Cook Co'!$C$1:$J$2762,2,FALSE) - VLOOKUP(C1256,'CHAS - Chicago'!$C$1:$J$2762,2,FALSE)</f>
        <v>47955</v>
      </c>
      <c r="E1256" t="s">
        <v>366</v>
      </c>
      <c r="F1256" s="71" t="s">
        <v>367</v>
      </c>
      <c r="G1256" s="71" t="s">
        <v>406</v>
      </c>
      <c r="H1256" s="71" t="s">
        <v>1657</v>
      </c>
      <c r="I1256" s="71" t="s">
        <v>1653</v>
      </c>
    </row>
    <row r="1257" spans="1:9" ht="43.5" x14ac:dyDescent="0.35">
      <c r="A1257">
        <v>8</v>
      </c>
      <c r="B1257">
        <v>44</v>
      </c>
      <c r="C1257" t="s">
        <v>1702</v>
      </c>
      <c r="D1257" s="64">
        <f>VLOOKUP(C1257,'CHAS - Cook Co'!$C$1:$J$2762,2,FALSE) - VLOOKUP(C1257,'CHAS - Chicago'!$C$1:$J$2762,2,FALSE)</f>
        <v>220</v>
      </c>
      <c r="E1257" t="s">
        <v>373</v>
      </c>
      <c r="F1257" s="71" t="s">
        <v>367</v>
      </c>
      <c r="G1257" s="71" t="s">
        <v>406</v>
      </c>
      <c r="H1257" s="71" t="s">
        <v>1657</v>
      </c>
      <c r="I1257" s="71" t="s">
        <v>1659</v>
      </c>
    </row>
    <row r="1258" spans="1:9" ht="43.5" x14ac:dyDescent="0.35">
      <c r="A1258">
        <v>8</v>
      </c>
      <c r="B1258">
        <v>45</v>
      </c>
      <c r="C1258" t="s">
        <v>1703</v>
      </c>
      <c r="D1258" s="64">
        <f>VLOOKUP(C1258,'CHAS - Cook Co'!$C$1:$J$2762,2,FALSE) - VLOOKUP(C1258,'CHAS - Chicago'!$C$1:$J$2762,2,FALSE)</f>
        <v>47735</v>
      </c>
      <c r="E1258" t="s">
        <v>373</v>
      </c>
      <c r="F1258" s="71" t="s">
        <v>367</v>
      </c>
      <c r="G1258" s="71" t="s">
        <v>406</v>
      </c>
      <c r="H1258" s="71" t="s">
        <v>1657</v>
      </c>
      <c r="I1258" s="71" t="s">
        <v>1661</v>
      </c>
    </row>
    <row r="1259" spans="1:9" ht="43.5" x14ac:dyDescent="0.35">
      <c r="A1259">
        <v>8</v>
      </c>
      <c r="B1259">
        <v>46</v>
      </c>
      <c r="C1259" t="s">
        <v>1704</v>
      </c>
      <c r="D1259" s="64">
        <f>VLOOKUP(C1259,'CHAS - Cook Co'!$C$1:$J$2762,2,FALSE) - VLOOKUP(C1259,'CHAS - Chicago'!$C$1:$J$2762,2,FALSE)</f>
        <v>17650</v>
      </c>
      <c r="E1259" t="s">
        <v>366</v>
      </c>
      <c r="F1259" s="71" t="s">
        <v>367</v>
      </c>
      <c r="G1259" s="71" t="s">
        <v>406</v>
      </c>
      <c r="H1259" s="71" t="s">
        <v>1663</v>
      </c>
      <c r="I1259" s="71" t="s">
        <v>1653</v>
      </c>
    </row>
    <row r="1260" spans="1:9" ht="43.5" x14ac:dyDescent="0.35">
      <c r="A1260">
        <v>8</v>
      </c>
      <c r="B1260">
        <v>47</v>
      </c>
      <c r="C1260" t="s">
        <v>1705</v>
      </c>
      <c r="D1260" s="64">
        <f>VLOOKUP(C1260,'CHAS - Cook Co'!$C$1:$J$2762,2,FALSE) - VLOOKUP(C1260,'CHAS - Chicago'!$C$1:$J$2762,2,FALSE)</f>
        <v>25</v>
      </c>
      <c r="E1260" t="s">
        <v>373</v>
      </c>
      <c r="F1260" s="71" t="s">
        <v>367</v>
      </c>
      <c r="G1260" s="71" t="s">
        <v>406</v>
      </c>
      <c r="H1260" s="71" t="s">
        <v>1663</v>
      </c>
      <c r="I1260" s="71" t="s">
        <v>1659</v>
      </c>
    </row>
    <row r="1261" spans="1:9" ht="43.5" x14ac:dyDescent="0.35">
      <c r="A1261">
        <v>8</v>
      </c>
      <c r="B1261">
        <v>48</v>
      </c>
      <c r="C1261" t="s">
        <v>1706</v>
      </c>
      <c r="D1261" s="64">
        <f>VLOOKUP(C1261,'CHAS - Cook Co'!$C$1:$J$2762,2,FALSE) - VLOOKUP(C1261,'CHAS - Chicago'!$C$1:$J$2762,2,FALSE)</f>
        <v>17620</v>
      </c>
      <c r="E1261" t="s">
        <v>373</v>
      </c>
      <c r="F1261" s="71" t="s">
        <v>367</v>
      </c>
      <c r="G1261" s="71" t="s">
        <v>406</v>
      </c>
      <c r="H1261" s="71" t="s">
        <v>1663</v>
      </c>
      <c r="I1261" s="71" t="s">
        <v>1661</v>
      </c>
    </row>
    <row r="1262" spans="1:9" ht="43.5" x14ac:dyDescent="0.35">
      <c r="A1262">
        <v>8</v>
      </c>
      <c r="B1262">
        <v>49</v>
      </c>
      <c r="C1262" t="s">
        <v>1707</v>
      </c>
      <c r="D1262" s="64">
        <f>VLOOKUP(C1262,'CHAS - Cook Co'!$C$1:$J$2762,2,FALSE) - VLOOKUP(C1262,'CHAS - Chicago'!$C$1:$J$2762,2,FALSE)</f>
        <v>3605</v>
      </c>
      <c r="E1262" t="s">
        <v>366</v>
      </c>
      <c r="F1262" s="71" t="s">
        <v>367</v>
      </c>
      <c r="G1262" s="71" t="s">
        <v>406</v>
      </c>
      <c r="H1262" s="71" t="s">
        <v>1667</v>
      </c>
      <c r="I1262" s="71" t="s">
        <v>1653</v>
      </c>
    </row>
    <row r="1263" spans="1:9" ht="43.5" x14ac:dyDescent="0.35">
      <c r="A1263">
        <v>8</v>
      </c>
      <c r="B1263">
        <v>50</v>
      </c>
      <c r="C1263" t="s">
        <v>1708</v>
      </c>
      <c r="D1263" s="64">
        <f>VLOOKUP(C1263,'CHAS - Cook Co'!$C$1:$J$2762,2,FALSE) - VLOOKUP(C1263,'CHAS - Chicago'!$C$1:$J$2762,2,FALSE)</f>
        <v>11</v>
      </c>
      <c r="E1263" t="s">
        <v>373</v>
      </c>
      <c r="F1263" s="71" t="s">
        <v>367</v>
      </c>
      <c r="G1263" s="71" t="s">
        <v>406</v>
      </c>
      <c r="H1263" s="71" t="s">
        <v>1667</v>
      </c>
      <c r="I1263" s="71" t="s">
        <v>1659</v>
      </c>
    </row>
    <row r="1264" spans="1:9" ht="43.5" x14ac:dyDescent="0.35">
      <c r="A1264">
        <v>8</v>
      </c>
      <c r="B1264">
        <v>51</v>
      </c>
      <c r="C1264" t="s">
        <v>1709</v>
      </c>
      <c r="D1264" s="64">
        <f>VLOOKUP(C1264,'CHAS - Cook Co'!$C$1:$J$2762,2,FALSE) - VLOOKUP(C1264,'CHAS - Chicago'!$C$1:$J$2762,2,FALSE)</f>
        <v>3595</v>
      </c>
      <c r="E1264" t="s">
        <v>373</v>
      </c>
      <c r="F1264" s="71" t="s">
        <v>367</v>
      </c>
      <c r="G1264" s="71" t="s">
        <v>406</v>
      </c>
      <c r="H1264" s="71" t="s">
        <v>1667</v>
      </c>
      <c r="I1264" s="71" t="s">
        <v>1661</v>
      </c>
    </row>
    <row r="1265" spans="1:9" ht="43.5" x14ac:dyDescent="0.35">
      <c r="A1265">
        <v>8</v>
      </c>
      <c r="B1265">
        <v>52</v>
      </c>
      <c r="C1265" t="s">
        <v>1710</v>
      </c>
      <c r="D1265" s="64">
        <f>VLOOKUP(C1265,'CHAS - Cook Co'!$C$1:$J$2762,2,FALSE) - VLOOKUP(C1265,'CHAS - Chicago'!$C$1:$J$2762,2,FALSE)</f>
        <v>0</v>
      </c>
      <c r="E1265" t="s">
        <v>366</v>
      </c>
      <c r="F1265" s="71" t="s">
        <v>367</v>
      </c>
      <c r="G1265" s="71" t="s">
        <v>406</v>
      </c>
      <c r="H1265" s="71" t="s">
        <v>1671</v>
      </c>
      <c r="I1265" s="71" t="s">
        <v>1653</v>
      </c>
    </row>
    <row r="1266" spans="1:9" ht="43.5" x14ac:dyDescent="0.35">
      <c r="A1266">
        <v>8</v>
      </c>
      <c r="B1266">
        <v>53</v>
      </c>
      <c r="C1266" t="s">
        <v>1711</v>
      </c>
      <c r="D1266" s="64">
        <f>VLOOKUP(C1266,'CHAS - Cook Co'!$C$1:$J$2762,2,FALSE) - VLOOKUP(C1266,'CHAS - Chicago'!$C$1:$J$2762,2,FALSE)</f>
        <v>0</v>
      </c>
      <c r="E1266" t="s">
        <v>373</v>
      </c>
      <c r="F1266" s="71" t="s">
        <v>367</v>
      </c>
      <c r="G1266" s="71" t="s">
        <v>406</v>
      </c>
      <c r="H1266" s="71" t="s">
        <v>1671</v>
      </c>
      <c r="I1266" s="71" t="s">
        <v>1659</v>
      </c>
    </row>
    <row r="1267" spans="1:9" ht="43.5" x14ac:dyDescent="0.35">
      <c r="A1267">
        <v>8</v>
      </c>
      <c r="B1267">
        <v>54</v>
      </c>
      <c r="C1267" t="s">
        <v>1712</v>
      </c>
      <c r="D1267" s="64">
        <f>VLOOKUP(C1267,'CHAS - Cook Co'!$C$1:$J$2762,2,FALSE) - VLOOKUP(C1267,'CHAS - Chicago'!$C$1:$J$2762,2,FALSE)</f>
        <v>0</v>
      </c>
      <c r="E1267" t="s">
        <v>373</v>
      </c>
      <c r="F1267" s="71" t="s">
        <v>367</v>
      </c>
      <c r="G1267" s="71" t="s">
        <v>406</v>
      </c>
      <c r="H1267" s="71" t="s">
        <v>1671</v>
      </c>
      <c r="I1267" s="71" t="s">
        <v>1661</v>
      </c>
    </row>
    <row r="1268" spans="1:9" ht="29" x14ac:dyDescent="0.35">
      <c r="A1268">
        <v>8</v>
      </c>
      <c r="B1268">
        <v>55</v>
      </c>
      <c r="C1268" t="s">
        <v>1713</v>
      </c>
      <c r="D1268" s="64">
        <f>VLOOKUP(C1268,'CHAS - Cook Co'!$C$1:$J$2762,2,FALSE) - VLOOKUP(C1268,'CHAS - Chicago'!$C$1:$J$2762,2,FALSE)</f>
        <v>351605</v>
      </c>
      <c r="E1268" t="s">
        <v>366</v>
      </c>
      <c r="F1268" s="71" t="s">
        <v>367</v>
      </c>
      <c r="G1268" s="71" t="s">
        <v>415</v>
      </c>
      <c r="H1268" s="71" t="s">
        <v>1374</v>
      </c>
      <c r="I1268" s="71" t="s">
        <v>1653</v>
      </c>
    </row>
    <row r="1269" spans="1:9" ht="29" x14ac:dyDescent="0.35">
      <c r="A1269">
        <v>8</v>
      </c>
      <c r="B1269">
        <v>56</v>
      </c>
      <c r="C1269" t="s">
        <v>1714</v>
      </c>
      <c r="D1269" s="64">
        <f>VLOOKUP(C1269,'CHAS - Cook Co'!$C$1:$J$2762,2,FALSE) - VLOOKUP(C1269,'CHAS - Chicago'!$C$1:$J$2762,2,FALSE)</f>
        <v>318800</v>
      </c>
      <c r="E1269" t="s">
        <v>366</v>
      </c>
      <c r="F1269" s="71" t="s">
        <v>367</v>
      </c>
      <c r="G1269" s="71" t="s">
        <v>415</v>
      </c>
      <c r="H1269" s="71" t="s">
        <v>1657</v>
      </c>
      <c r="I1269" s="71" t="s">
        <v>1653</v>
      </c>
    </row>
    <row r="1270" spans="1:9" ht="43.5" x14ac:dyDescent="0.35">
      <c r="A1270">
        <v>8</v>
      </c>
      <c r="B1270">
        <v>57</v>
      </c>
      <c r="C1270" t="s">
        <v>1715</v>
      </c>
      <c r="D1270" s="64">
        <f>VLOOKUP(C1270,'CHAS - Cook Co'!$C$1:$J$2762,2,FALSE) - VLOOKUP(C1270,'CHAS - Chicago'!$C$1:$J$2762,2,FALSE)</f>
        <v>425</v>
      </c>
      <c r="E1270" t="s">
        <v>373</v>
      </c>
      <c r="F1270" s="71" t="s">
        <v>367</v>
      </c>
      <c r="G1270" s="71" t="s">
        <v>415</v>
      </c>
      <c r="H1270" s="71" t="s">
        <v>1657</v>
      </c>
      <c r="I1270" s="71" t="s">
        <v>1659</v>
      </c>
    </row>
    <row r="1271" spans="1:9" ht="43.5" x14ac:dyDescent="0.35">
      <c r="A1271">
        <v>8</v>
      </c>
      <c r="B1271">
        <v>58</v>
      </c>
      <c r="C1271" t="s">
        <v>1716</v>
      </c>
      <c r="D1271" s="64">
        <f>VLOOKUP(C1271,'CHAS - Cook Co'!$C$1:$J$2762,2,FALSE) - VLOOKUP(C1271,'CHAS - Chicago'!$C$1:$J$2762,2,FALSE)</f>
        <v>318380</v>
      </c>
      <c r="E1271" t="s">
        <v>373</v>
      </c>
      <c r="F1271" s="71" t="s">
        <v>367</v>
      </c>
      <c r="G1271" s="71" t="s">
        <v>415</v>
      </c>
      <c r="H1271" s="71" t="s">
        <v>1657</v>
      </c>
      <c r="I1271" s="71" t="s">
        <v>1661</v>
      </c>
    </row>
    <row r="1272" spans="1:9" ht="29" x14ac:dyDescent="0.35">
      <c r="A1272">
        <v>8</v>
      </c>
      <c r="B1272">
        <v>59</v>
      </c>
      <c r="C1272" t="s">
        <v>1717</v>
      </c>
      <c r="D1272" s="64">
        <f>VLOOKUP(C1272,'CHAS - Cook Co'!$C$1:$J$2762,2,FALSE) - VLOOKUP(C1272,'CHAS - Chicago'!$C$1:$J$2762,2,FALSE)</f>
        <v>28720</v>
      </c>
      <c r="E1272" t="s">
        <v>366</v>
      </c>
      <c r="F1272" s="71" t="s">
        <v>367</v>
      </c>
      <c r="G1272" s="71" t="s">
        <v>415</v>
      </c>
      <c r="H1272" s="71" t="s">
        <v>1663</v>
      </c>
      <c r="I1272" s="71" t="s">
        <v>1653</v>
      </c>
    </row>
    <row r="1273" spans="1:9" ht="43.5" x14ac:dyDescent="0.35">
      <c r="A1273">
        <v>8</v>
      </c>
      <c r="B1273">
        <v>60</v>
      </c>
      <c r="C1273" t="s">
        <v>1718</v>
      </c>
      <c r="D1273" s="64">
        <f>VLOOKUP(C1273,'CHAS - Cook Co'!$C$1:$J$2762,2,FALSE) - VLOOKUP(C1273,'CHAS - Chicago'!$C$1:$J$2762,2,FALSE)</f>
        <v>10</v>
      </c>
      <c r="E1273" t="s">
        <v>373</v>
      </c>
      <c r="F1273" s="71" t="s">
        <v>367</v>
      </c>
      <c r="G1273" s="71" t="s">
        <v>415</v>
      </c>
      <c r="H1273" s="71" t="s">
        <v>1663</v>
      </c>
      <c r="I1273" s="71" t="s">
        <v>1659</v>
      </c>
    </row>
    <row r="1274" spans="1:9" ht="43.5" x14ac:dyDescent="0.35">
      <c r="A1274">
        <v>8</v>
      </c>
      <c r="B1274">
        <v>61</v>
      </c>
      <c r="C1274" t="s">
        <v>1719</v>
      </c>
      <c r="D1274" s="64">
        <f>VLOOKUP(C1274,'CHAS - Cook Co'!$C$1:$J$2762,2,FALSE) - VLOOKUP(C1274,'CHAS - Chicago'!$C$1:$J$2762,2,FALSE)</f>
        <v>28715</v>
      </c>
      <c r="E1274" t="s">
        <v>373</v>
      </c>
      <c r="F1274" s="71" t="s">
        <v>367</v>
      </c>
      <c r="G1274" s="71" t="s">
        <v>415</v>
      </c>
      <c r="H1274" s="71" t="s">
        <v>1663</v>
      </c>
      <c r="I1274" s="71" t="s">
        <v>1661</v>
      </c>
    </row>
    <row r="1275" spans="1:9" ht="29" x14ac:dyDescent="0.35">
      <c r="A1275">
        <v>8</v>
      </c>
      <c r="B1275">
        <v>62</v>
      </c>
      <c r="C1275" t="s">
        <v>1720</v>
      </c>
      <c r="D1275" s="64">
        <f>VLOOKUP(C1275,'CHAS - Cook Co'!$C$1:$J$2762,2,FALSE) - VLOOKUP(C1275,'CHAS - Chicago'!$C$1:$J$2762,2,FALSE)</f>
        <v>4080</v>
      </c>
      <c r="E1275" t="s">
        <v>366</v>
      </c>
      <c r="F1275" s="71" t="s">
        <v>367</v>
      </c>
      <c r="G1275" s="71" t="s">
        <v>415</v>
      </c>
      <c r="H1275" s="71" t="s">
        <v>1667</v>
      </c>
      <c r="I1275" s="71" t="s">
        <v>1653</v>
      </c>
    </row>
    <row r="1276" spans="1:9" ht="43.5" x14ac:dyDescent="0.35">
      <c r="A1276">
        <v>8</v>
      </c>
      <c r="B1276">
        <v>63</v>
      </c>
      <c r="C1276" t="s">
        <v>1721</v>
      </c>
      <c r="D1276" s="64">
        <f>VLOOKUP(C1276,'CHAS - Cook Co'!$C$1:$J$2762,2,FALSE) - VLOOKUP(C1276,'CHAS - Chicago'!$C$1:$J$2762,2,FALSE)</f>
        <v>0</v>
      </c>
      <c r="E1276" t="s">
        <v>373</v>
      </c>
      <c r="F1276" s="71" t="s">
        <v>367</v>
      </c>
      <c r="G1276" s="71" t="s">
        <v>415</v>
      </c>
      <c r="H1276" s="71" t="s">
        <v>1667</v>
      </c>
      <c r="I1276" s="71" t="s">
        <v>1659</v>
      </c>
    </row>
    <row r="1277" spans="1:9" ht="43.5" x14ac:dyDescent="0.35">
      <c r="A1277">
        <v>8</v>
      </c>
      <c r="B1277">
        <v>64</v>
      </c>
      <c r="C1277" t="s">
        <v>1722</v>
      </c>
      <c r="D1277" s="64">
        <f>VLOOKUP(C1277,'CHAS - Cook Co'!$C$1:$J$2762,2,FALSE) - VLOOKUP(C1277,'CHAS - Chicago'!$C$1:$J$2762,2,FALSE)</f>
        <v>4085</v>
      </c>
      <c r="E1277" t="s">
        <v>373</v>
      </c>
      <c r="F1277" s="71" t="s">
        <v>367</v>
      </c>
      <c r="G1277" s="71" t="s">
        <v>415</v>
      </c>
      <c r="H1277" s="71" t="s">
        <v>1667</v>
      </c>
      <c r="I1277" s="71" t="s">
        <v>1661</v>
      </c>
    </row>
    <row r="1278" spans="1:9" ht="29" x14ac:dyDescent="0.35">
      <c r="A1278">
        <v>8</v>
      </c>
      <c r="B1278">
        <v>65</v>
      </c>
      <c r="C1278" t="s">
        <v>1723</v>
      </c>
      <c r="D1278" s="64">
        <f>VLOOKUP(C1278,'CHAS - Cook Co'!$C$1:$J$2762,2,FALSE) - VLOOKUP(C1278,'CHAS - Chicago'!$C$1:$J$2762,2,FALSE)</f>
        <v>0</v>
      </c>
      <c r="E1278" t="s">
        <v>366</v>
      </c>
      <c r="F1278" s="71" t="s">
        <v>367</v>
      </c>
      <c r="G1278" s="71" t="s">
        <v>415</v>
      </c>
      <c r="H1278" s="71" t="s">
        <v>1671</v>
      </c>
      <c r="I1278" s="71" t="s">
        <v>1653</v>
      </c>
    </row>
    <row r="1279" spans="1:9" ht="43.5" x14ac:dyDescent="0.35">
      <c r="A1279">
        <v>8</v>
      </c>
      <c r="B1279">
        <v>66</v>
      </c>
      <c r="C1279" t="s">
        <v>1724</v>
      </c>
      <c r="D1279" s="64">
        <f>VLOOKUP(C1279,'CHAS - Cook Co'!$C$1:$J$2762,2,FALSE) - VLOOKUP(C1279,'CHAS - Chicago'!$C$1:$J$2762,2,FALSE)</f>
        <v>0</v>
      </c>
      <c r="E1279" t="s">
        <v>373</v>
      </c>
      <c r="F1279" s="71" t="s">
        <v>367</v>
      </c>
      <c r="G1279" s="71" t="s">
        <v>415</v>
      </c>
      <c r="H1279" s="71" t="s">
        <v>1671</v>
      </c>
      <c r="I1279" s="71" t="s">
        <v>1659</v>
      </c>
    </row>
    <row r="1280" spans="1:9" ht="43.5" x14ac:dyDescent="0.35">
      <c r="A1280">
        <v>8</v>
      </c>
      <c r="B1280">
        <v>67</v>
      </c>
      <c r="C1280" t="s">
        <v>1725</v>
      </c>
      <c r="D1280" s="64">
        <f>VLOOKUP(C1280,'CHAS - Cook Co'!$C$1:$J$2762,2,FALSE) - VLOOKUP(C1280,'CHAS - Chicago'!$C$1:$J$2762,2,FALSE)</f>
        <v>0</v>
      </c>
      <c r="E1280" t="s">
        <v>373</v>
      </c>
      <c r="F1280" s="71" t="s">
        <v>367</v>
      </c>
      <c r="G1280" s="71" t="s">
        <v>415</v>
      </c>
      <c r="H1280" s="71" t="s">
        <v>1671</v>
      </c>
      <c r="I1280" s="71" t="s">
        <v>1661</v>
      </c>
    </row>
    <row r="1281" spans="1:9" x14ac:dyDescent="0.35">
      <c r="A1281">
        <v>8</v>
      </c>
      <c r="B1281">
        <v>68</v>
      </c>
      <c r="C1281" t="s">
        <v>1726</v>
      </c>
      <c r="D1281" s="64">
        <f>VLOOKUP(C1281,'CHAS - Cook Co'!$C$1:$J$2762,2,FALSE) - VLOOKUP(C1281,'CHAS - Chicago'!$C$1:$J$2762,2,FALSE)</f>
        <v>263750</v>
      </c>
      <c r="E1281" t="s">
        <v>366</v>
      </c>
      <c r="F1281" s="71" t="s">
        <v>508</v>
      </c>
      <c r="G1281" s="71" t="s">
        <v>363</v>
      </c>
      <c r="H1281" s="71" t="s">
        <v>1374</v>
      </c>
      <c r="I1281" s="71" t="s">
        <v>1653</v>
      </c>
    </row>
    <row r="1282" spans="1:9" ht="29" x14ac:dyDescent="0.35">
      <c r="A1282">
        <v>8</v>
      </c>
      <c r="B1282">
        <v>69</v>
      </c>
      <c r="C1282" t="s">
        <v>1727</v>
      </c>
      <c r="D1282" s="64">
        <f>VLOOKUP(C1282,'CHAS - Cook Co'!$C$1:$J$2762,2,FALSE) - VLOOKUP(C1282,'CHAS - Chicago'!$C$1:$J$2762,2,FALSE)</f>
        <v>71775</v>
      </c>
      <c r="E1282" t="s">
        <v>366</v>
      </c>
      <c r="F1282" s="71" t="s">
        <v>508</v>
      </c>
      <c r="G1282" s="71" t="s">
        <v>371</v>
      </c>
      <c r="H1282" s="71" t="s">
        <v>1374</v>
      </c>
      <c r="I1282" s="71" t="s">
        <v>1653</v>
      </c>
    </row>
    <row r="1283" spans="1:9" ht="29" x14ac:dyDescent="0.35">
      <c r="A1283">
        <v>8</v>
      </c>
      <c r="B1283">
        <v>70</v>
      </c>
      <c r="C1283" t="s">
        <v>1728</v>
      </c>
      <c r="D1283" s="64">
        <f>VLOOKUP(C1283,'CHAS - Cook Co'!$C$1:$J$2762,2,FALSE) - VLOOKUP(C1283,'CHAS - Chicago'!$C$1:$J$2762,2,FALSE)</f>
        <v>7170</v>
      </c>
      <c r="E1283" t="s">
        <v>366</v>
      </c>
      <c r="F1283" s="71" t="s">
        <v>508</v>
      </c>
      <c r="G1283" s="71" t="s">
        <v>371</v>
      </c>
      <c r="H1283" s="71" t="s">
        <v>1657</v>
      </c>
      <c r="I1283" s="71" t="s">
        <v>1653</v>
      </c>
    </row>
    <row r="1284" spans="1:9" ht="43.5" x14ac:dyDescent="0.35">
      <c r="A1284">
        <v>8</v>
      </c>
      <c r="B1284">
        <v>71</v>
      </c>
      <c r="C1284" t="s">
        <v>1729</v>
      </c>
      <c r="D1284" s="64">
        <f>VLOOKUP(C1284,'CHAS - Cook Co'!$C$1:$J$2762,2,FALSE) - VLOOKUP(C1284,'CHAS - Chicago'!$C$1:$J$2762,2,FALSE)</f>
        <v>130</v>
      </c>
      <c r="E1284" t="s">
        <v>373</v>
      </c>
      <c r="F1284" s="71" t="s">
        <v>508</v>
      </c>
      <c r="G1284" s="71" t="s">
        <v>371</v>
      </c>
      <c r="H1284" s="71" t="s">
        <v>1657</v>
      </c>
      <c r="I1284" s="71" t="s">
        <v>1659</v>
      </c>
    </row>
    <row r="1285" spans="1:9" ht="43.5" x14ac:dyDescent="0.35">
      <c r="A1285">
        <v>8</v>
      </c>
      <c r="B1285">
        <v>72</v>
      </c>
      <c r="C1285" t="s">
        <v>1730</v>
      </c>
      <c r="D1285" s="64">
        <f>VLOOKUP(C1285,'CHAS - Cook Co'!$C$1:$J$2762,2,FALSE) - VLOOKUP(C1285,'CHAS - Chicago'!$C$1:$J$2762,2,FALSE)</f>
        <v>7040</v>
      </c>
      <c r="E1285" t="s">
        <v>373</v>
      </c>
      <c r="F1285" s="71" t="s">
        <v>508</v>
      </c>
      <c r="G1285" s="71" t="s">
        <v>371</v>
      </c>
      <c r="H1285" s="71" t="s">
        <v>1657</v>
      </c>
      <c r="I1285" s="71" t="s">
        <v>1661</v>
      </c>
    </row>
    <row r="1286" spans="1:9" ht="29" x14ac:dyDescent="0.35">
      <c r="A1286">
        <v>8</v>
      </c>
      <c r="B1286">
        <v>73</v>
      </c>
      <c r="C1286" t="s">
        <v>1731</v>
      </c>
      <c r="D1286" s="64">
        <f>VLOOKUP(C1286,'CHAS - Cook Co'!$C$1:$J$2762,2,FALSE) - VLOOKUP(C1286,'CHAS - Chicago'!$C$1:$J$2762,2,FALSE)</f>
        <v>7025</v>
      </c>
      <c r="E1286" t="s">
        <v>366</v>
      </c>
      <c r="F1286" s="71" t="s">
        <v>508</v>
      </c>
      <c r="G1286" s="71" t="s">
        <v>371</v>
      </c>
      <c r="H1286" s="71" t="s">
        <v>1663</v>
      </c>
      <c r="I1286" s="71" t="s">
        <v>1653</v>
      </c>
    </row>
    <row r="1287" spans="1:9" ht="43.5" x14ac:dyDescent="0.35">
      <c r="A1287">
        <v>8</v>
      </c>
      <c r="B1287">
        <v>74</v>
      </c>
      <c r="C1287" t="s">
        <v>1732</v>
      </c>
      <c r="D1287" s="64">
        <f>VLOOKUP(C1287,'CHAS - Cook Co'!$C$1:$J$2762,2,FALSE) - VLOOKUP(C1287,'CHAS - Chicago'!$C$1:$J$2762,2,FALSE)</f>
        <v>145</v>
      </c>
      <c r="E1287" t="s">
        <v>373</v>
      </c>
      <c r="F1287" s="71" t="s">
        <v>508</v>
      </c>
      <c r="G1287" s="71" t="s">
        <v>371</v>
      </c>
      <c r="H1287" s="71" t="s">
        <v>1663</v>
      </c>
      <c r="I1287" s="71" t="s">
        <v>1659</v>
      </c>
    </row>
    <row r="1288" spans="1:9" ht="43.5" x14ac:dyDescent="0.35">
      <c r="A1288">
        <v>8</v>
      </c>
      <c r="B1288">
        <v>75</v>
      </c>
      <c r="C1288" t="s">
        <v>1733</v>
      </c>
      <c r="D1288" s="64">
        <f>VLOOKUP(C1288,'CHAS - Cook Co'!$C$1:$J$2762,2,FALSE) - VLOOKUP(C1288,'CHAS - Chicago'!$C$1:$J$2762,2,FALSE)</f>
        <v>6880</v>
      </c>
      <c r="E1288" t="s">
        <v>373</v>
      </c>
      <c r="F1288" s="71" t="s">
        <v>508</v>
      </c>
      <c r="G1288" s="71" t="s">
        <v>371</v>
      </c>
      <c r="H1288" s="71" t="s">
        <v>1663</v>
      </c>
      <c r="I1288" s="71" t="s">
        <v>1661</v>
      </c>
    </row>
    <row r="1289" spans="1:9" ht="29" x14ac:dyDescent="0.35">
      <c r="A1289">
        <v>8</v>
      </c>
      <c r="B1289">
        <v>76</v>
      </c>
      <c r="C1289" t="s">
        <v>1734</v>
      </c>
      <c r="D1289" s="64">
        <f>VLOOKUP(C1289,'CHAS - Cook Co'!$C$1:$J$2762,2,FALSE) - VLOOKUP(C1289,'CHAS - Chicago'!$C$1:$J$2762,2,FALSE)</f>
        <v>48600</v>
      </c>
      <c r="E1289" t="s">
        <v>366</v>
      </c>
      <c r="F1289" s="71" t="s">
        <v>508</v>
      </c>
      <c r="G1289" s="71" t="s">
        <v>371</v>
      </c>
      <c r="H1289" s="71" t="s">
        <v>1667</v>
      </c>
      <c r="I1289" s="71" t="s">
        <v>1653</v>
      </c>
    </row>
    <row r="1290" spans="1:9" ht="43.5" x14ac:dyDescent="0.35">
      <c r="A1290">
        <v>8</v>
      </c>
      <c r="B1290">
        <v>77</v>
      </c>
      <c r="C1290" t="s">
        <v>1735</v>
      </c>
      <c r="D1290" s="64">
        <f>VLOOKUP(C1290,'CHAS - Cook Co'!$C$1:$J$2762,2,FALSE) - VLOOKUP(C1290,'CHAS - Chicago'!$C$1:$J$2762,2,FALSE)</f>
        <v>1265</v>
      </c>
      <c r="E1290" t="s">
        <v>373</v>
      </c>
      <c r="F1290" s="71" t="s">
        <v>508</v>
      </c>
      <c r="G1290" s="71" t="s">
        <v>371</v>
      </c>
      <c r="H1290" s="71" t="s">
        <v>1667</v>
      </c>
      <c r="I1290" s="71" t="s">
        <v>1659</v>
      </c>
    </row>
    <row r="1291" spans="1:9" ht="43.5" x14ac:dyDescent="0.35">
      <c r="A1291">
        <v>8</v>
      </c>
      <c r="B1291">
        <v>78</v>
      </c>
      <c r="C1291" t="s">
        <v>1736</v>
      </c>
      <c r="D1291" s="64">
        <f>VLOOKUP(C1291,'CHAS - Cook Co'!$C$1:$J$2762,2,FALSE) - VLOOKUP(C1291,'CHAS - Chicago'!$C$1:$J$2762,2,FALSE)</f>
        <v>47335</v>
      </c>
      <c r="E1291" t="s">
        <v>373</v>
      </c>
      <c r="F1291" s="71" t="s">
        <v>508</v>
      </c>
      <c r="G1291" s="71" t="s">
        <v>371</v>
      </c>
      <c r="H1291" s="71" t="s">
        <v>1667</v>
      </c>
      <c r="I1291" s="71" t="s">
        <v>1661</v>
      </c>
    </row>
    <row r="1292" spans="1:9" ht="29" x14ac:dyDescent="0.35">
      <c r="A1292">
        <v>8</v>
      </c>
      <c r="B1292">
        <v>79</v>
      </c>
      <c r="C1292" t="s">
        <v>1737</v>
      </c>
      <c r="D1292" s="64">
        <f>VLOOKUP(C1292,'CHAS - Cook Co'!$C$1:$J$2762,2,FALSE) - VLOOKUP(C1292,'CHAS - Chicago'!$C$1:$J$2762,2,FALSE)</f>
        <v>8980</v>
      </c>
      <c r="E1292" t="s">
        <v>366</v>
      </c>
      <c r="F1292" s="71" t="s">
        <v>508</v>
      </c>
      <c r="G1292" s="71" t="s">
        <v>371</v>
      </c>
      <c r="H1292" s="71" t="s">
        <v>1671</v>
      </c>
      <c r="I1292" s="71" t="s">
        <v>1653</v>
      </c>
    </row>
    <row r="1293" spans="1:9" ht="43.5" x14ac:dyDescent="0.35">
      <c r="A1293">
        <v>8</v>
      </c>
      <c r="B1293">
        <v>80</v>
      </c>
      <c r="C1293" t="s">
        <v>1738</v>
      </c>
      <c r="D1293" s="64">
        <f>VLOOKUP(C1293,'CHAS - Cook Co'!$C$1:$J$2762,2,FALSE) - VLOOKUP(C1293,'CHAS - Chicago'!$C$1:$J$2762,2,FALSE)</f>
        <v>185</v>
      </c>
      <c r="E1293" t="s">
        <v>373</v>
      </c>
      <c r="F1293" s="71" t="s">
        <v>508</v>
      </c>
      <c r="G1293" s="71" t="s">
        <v>371</v>
      </c>
      <c r="H1293" s="71" t="s">
        <v>1671</v>
      </c>
      <c r="I1293" s="71" t="s">
        <v>1659</v>
      </c>
    </row>
    <row r="1294" spans="1:9" ht="43.5" x14ac:dyDescent="0.35">
      <c r="A1294">
        <v>8</v>
      </c>
      <c r="B1294">
        <v>81</v>
      </c>
      <c r="C1294" t="s">
        <v>1739</v>
      </c>
      <c r="D1294" s="64">
        <f>VLOOKUP(C1294,'CHAS - Cook Co'!$C$1:$J$2762,2,FALSE) - VLOOKUP(C1294,'CHAS - Chicago'!$C$1:$J$2762,2,FALSE)</f>
        <v>8795</v>
      </c>
      <c r="E1294" t="s">
        <v>373</v>
      </c>
      <c r="F1294" s="71" t="s">
        <v>508</v>
      </c>
      <c r="G1294" s="71" t="s">
        <v>371</v>
      </c>
      <c r="H1294" s="71" t="s">
        <v>1671</v>
      </c>
      <c r="I1294" s="71" t="s">
        <v>1661</v>
      </c>
    </row>
    <row r="1295" spans="1:9" ht="43.5" x14ac:dyDescent="0.35">
      <c r="A1295">
        <v>8</v>
      </c>
      <c r="B1295">
        <v>82</v>
      </c>
      <c r="C1295" t="s">
        <v>1740</v>
      </c>
      <c r="D1295" s="64">
        <f>VLOOKUP(C1295,'CHAS - Cook Co'!$C$1:$J$2762,2,FALSE) - VLOOKUP(C1295,'CHAS - Chicago'!$C$1:$J$2762,2,FALSE)</f>
        <v>48490</v>
      </c>
      <c r="E1295" t="s">
        <v>366</v>
      </c>
      <c r="F1295" s="71" t="s">
        <v>508</v>
      </c>
      <c r="G1295" s="71" t="s">
        <v>388</v>
      </c>
      <c r="H1295" s="71" t="s">
        <v>1374</v>
      </c>
      <c r="I1295" s="71" t="s">
        <v>1653</v>
      </c>
    </row>
    <row r="1296" spans="1:9" ht="43.5" x14ac:dyDescent="0.35">
      <c r="A1296">
        <v>8</v>
      </c>
      <c r="B1296">
        <v>83</v>
      </c>
      <c r="C1296" t="s">
        <v>1741</v>
      </c>
      <c r="D1296" s="64">
        <f>VLOOKUP(C1296,'CHAS - Cook Co'!$C$1:$J$2762,2,FALSE) - VLOOKUP(C1296,'CHAS - Chicago'!$C$1:$J$2762,2,FALSE)</f>
        <v>8930</v>
      </c>
      <c r="E1296" t="s">
        <v>366</v>
      </c>
      <c r="F1296" s="71" t="s">
        <v>508</v>
      </c>
      <c r="G1296" s="71" t="s">
        <v>388</v>
      </c>
      <c r="H1296" s="71" t="s">
        <v>1657</v>
      </c>
      <c r="I1296" s="71" t="s">
        <v>1653</v>
      </c>
    </row>
    <row r="1297" spans="1:9" ht="43.5" x14ac:dyDescent="0.35">
      <c r="A1297">
        <v>8</v>
      </c>
      <c r="B1297">
        <v>84</v>
      </c>
      <c r="C1297" t="s">
        <v>1742</v>
      </c>
      <c r="D1297" s="64">
        <f>VLOOKUP(C1297,'CHAS - Cook Co'!$C$1:$J$2762,2,FALSE) - VLOOKUP(C1297,'CHAS - Chicago'!$C$1:$J$2762,2,FALSE)</f>
        <v>100</v>
      </c>
      <c r="E1297" t="s">
        <v>373</v>
      </c>
      <c r="F1297" s="71" t="s">
        <v>508</v>
      </c>
      <c r="G1297" s="71" t="s">
        <v>388</v>
      </c>
      <c r="H1297" s="71" t="s">
        <v>1657</v>
      </c>
      <c r="I1297" s="71" t="s">
        <v>1659</v>
      </c>
    </row>
    <row r="1298" spans="1:9" ht="43.5" x14ac:dyDescent="0.35">
      <c r="A1298">
        <v>8</v>
      </c>
      <c r="B1298">
        <v>85</v>
      </c>
      <c r="C1298" t="s">
        <v>1743</v>
      </c>
      <c r="D1298" s="64">
        <f>VLOOKUP(C1298,'CHAS - Cook Co'!$C$1:$J$2762,2,FALSE) - VLOOKUP(C1298,'CHAS - Chicago'!$C$1:$J$2762,2,FALSE)</f>
        <v>8830</v>
      </c>
      <c r="E1298" t="s">
        <v>373</v>
      </c>
      <c r="F1298" s="71" t="s">
        <v>508</v>
      </c>
      <c r="G1298" s="71" t="s">
        <v>388</v>
      </c>
      <c r="H1298" s="71" t="s">
        <v>1657</v>
      </c>
      <c r="I1298" s="71" t="s">
        <v>1661</v>
      </c>
    </row>
    <row r="1299" spans="1:9" ht="43.5" x14ac:dyDescent="0.35">
      <c r="A1299">
        <v>8</v>
      </c>
      <c r="B1299">
        <v>86</v>
      </c>
      <c r="C1299" t="s">
        <v>1744</v>
      </c>
      <c r="D1299" s="64">
        <f>VLOOKUP(C1299,'CHAS - Cook Co'!$C$1:$J$2762,2,FALSE) - VLOOKUP(C1299,'CHAS - Chicago'!$C$1:$J$2762,2,FALSE)</f>
        <v>25280</v>
      </c>
      <c r="E1299" t="s">
        <v>366</v>
      </c>
      <c r="F1299" s="71" t="s">
        <v>508</v>
      </c>
      <c r="G1299" s="71" t="s">
        <v>388</v>
      </c>
      <c r="H1299" s="71" t="s">
        <v>1663</v>
      </c>
      <c r="I1299" s="71" t="s">
        <v>1653</v>
      </c>
    </row>
    <row r="1300" spans="1:9" ht="43.5" x14ac:dyDescent="0.35">
      <c r="A1300">
        <v>8</v>
      </c>
      <c r="B1300">
        <v>87</v>
      </c>
      <c r="C1300" t="s">
        <v>1745</v>
      </c>
      <c r="D1300" s="64">
        <f>VLOOKUP(C1300,'CHAS - Cook Co'!$C$1:$J$2762,2,FALSE) - VLOOKUP(C1300,'CHAS - Chicago'!$C$1:$J$2762,2,FALSE)</f>
        <v>220</v>
      </c>
      <c r="E1300" t="s">
        <v>373</v>
      </c>
      <c r="F1300" s="71" t="s">
        <v>508</v>
      </c>
      <c r="G1300" s="71" t="s">
        <v>388</v>
      </c>
      <c r="H1300" s="71" t="s">
        <v>1663</v>
      </c>
      <c r="I1300" s="71" t="s">
        <v>1659</v>
      </c>
    </row>
    <row r="1301" spans="1:9" ht="43.5" x14ac:dyDescent="0.35">
      <c r="A1301">
        <v>8</v>
      </c>
      <c r="B1301">
        <v>88</v>
      </c>
      <c r="C1301" t="s">
        <v>1746</v>
      </c>
      <c r="D1301" s="64">
        <f>VLOOKUP(C1301,'CHAS - Cook Co'!$C$1:$J$2762,2,FALSE) - VLOOKUP(C1301,'CHAS - Chicago'!$C$1:$J$2762,2,FALSE)</f>
        <v>25065</v>
      </c>
      <c r="E1301" t="s">
        <v>373</v>
      </c>
      <c r="F1301" s="71" t="s">
        <v>508</v>
      </c>
      <c r="G1301" s="71" t="s">
        <v>388</v>
      </c>
      <c r="H1301" s="71" t="s">
        <v>1663</v>
      </c>
      <c r="I1301" s="71" t="s">
        <v>1661</v>
      </c>
    </row>
    <row r="1302" spans="1:9" ht="43.5" x14ac:dyDescent="0.35">
      <c r="A1302">
        <v>8</v>
      </c>
      <c r="B1302">
        <v>89</v>
      </c>
      <c r="C1302" t="s">
        <v>1747</v>
      </c>
      <c r="D1302" s="64">
        <f>VLOOKUP(C1302,'CHAS - Cook Co'!$C$1:$J$2762,2,FALSE) - VLOOKUP(C1302,'CHAS - Chicago'!$C$1:$J$2762,2,FALSE)</f>
        <v>14275</v>
      </c>
      <c r="E1302" t="s">
        <v>366</v>
      </c>
      <c r="F1302" s="71" t="s">
        <v>508</v>
      </c>
      <c r="G1302" s="71" t="s">
        <v>388</v>
      </c>
      <c r="H1302" s="71" t="s">
        <v>1667</v>
      </c>
      <c r="I1302" s="71" t="s">
        <v>1653</v>
      </c>
    </row>
    <row r="1303" spans="1:9" ht="43.5" x14ac:dyDescent="0.35">
      <c r="A1303">
        <v>8</v>
      </c>
      <c r="B1303">
        <v>90</v>
      </c>
      <c r="C1303" t="s">
        <v>1748</v>
      </c>
      <c r="D1303" s="64">
        <f>VLOOKUP(C1303,'CHAS - Cook Co'!$C$1:$J$2762,2,FALSE) - VLOOKUP(C1303,'CHAS - Chicago'!$C$1:$J$2762,2,FALSE)</f>
        <v>435</v>
      </c>
      <c r="E1303" t="s">
        <v>373</v>
      </c>
      <c r="F1303" s="71" t="s">
        <v>508</v>
      </c>
      <c r="G1303" s="71" t="s">
        <v>388</v>
      </c>
      <c r="H1303" s="71" t="s">
        <v>1667</v>
      </c>
      <c r="I1303" s="71" t="s">
        <v>1659</v>
      </c>
    </row>
    <row r="1304" spans="1:9" ht="43.5" x14ac:dyDescent="0.35">
      <c r="A1304">
        <v>8</v>
      </c>
      <c r="B1304">
        <v>91</v>
      </c>
      <c r="C1304" t="s">
        <v>1749</v>
      </c>
      <c r="D1304" s="64">
        <f>VLOOKUP(C1304,'CHAS - Cook Co'!$C$1:$J$2762,2,FALSE) - VLOOKUP(C1304,'CHAS - Chicago'!$C$1:$J$2762,2,FALSE)</f>
        <v>13840</v>
      </c>
      <c r="E1304" t="s">
        <v>373</v>
      </c>
      <c r="F1304" s="71" t="s">
        <v>508</v>
      </c>
      <c r="G1304" s="71" t="s">
        <v>388</v>
      </c>
      <c r="H1304" s="71" t="s">
        <v>1667</v>
      </c>
      <c r="I1304" s="71" t="s">
        <v>1661</v>
      </c>
    </row>
    <row r="1305" spans="1:9" ht="43.5" x14ac:dyDescent="0.35">
      <c r="A1305">
        <v>8</v>
      </c>
      <c r="B1305">
        <v>92</v>
      </c>
      <c r="C1305" t="s">
        <v>1750</v>
      </c>
      <c r="D1305" s="64">
        <f>VLOOKUP(C1305,'CHAS - Cook Co'!$C$1:$J$2762,2,FALSE) - VLOOKUP(C1305,'CHAS - Chicago'!$C$1:$J$2762,2,FALSE)</f>
        <v>0</v>
      </c>
      <c r="E1305" t="s">
        <v>366</v>
      </c>
      <c r="F1305" s="71" t="s">
        <v>508</v>
      </c>
      <c r="G1305" s="71" t="s">
        <v>388</v>
      </c>
      <c r="H1305" s="71" t="s">
        <v>1671</v>
      </c>
      <c r="I1305" s="71" t="s">
        <v>1653</v>
      </c>
    </row>
    <row r="1306" spans="1:9" ht="43.5" x14ac:dyDescent="0.35">
      <c r="A1306">
        <v>8</v>
      </c>
      <c r="B1306">
        <v>93</v>
      </c>
      <c r="C1306" t="s">
        <v>1751</v>
      </c>
      <c r="D1306" s="64">
        <f>VLOOKUP(C1306,'CHAS - Cook Co'!$C$1:$J$2762,2,FALSE) - VLOOKUP(C1306,'CHAS - Chicago'!$C$1:$J$2762,2,FALSE)</f>
        <v>0</v>
      </c>
      <c r="E1306" t="s">
        <v>373</v>
      </c>
      <c r="F1306" s="71" t="s">
        <v>508</v>
      </c>
      <c r="G1306" s="71" t="s">
        <v>388</v>
      </c>
      <c r="H1306" s="71" t="s">
        <v>1671</v>
      </c>
      <c r="I1306" s="71" t="s">
        <v>1659</v>
      </c>
    </row>
    <row r="1307" spans="1:9" ht="43.5" x14ac:dyDescent="0.35">
      <c r="A1307">
        <v>8</v>
      </c>
      <c r="B1307">
        <v>94</v>
      </c>
      <c r="C1307" t="s">
        <v>1752</v>
      </c>
      <c r="D1307" s="64">
        <f>VLOOKUP(C1307,'CHAS - Cook Co'!$C$1:$J$2762,2,FALSE) - VLOOKUP(C1307,'CHAS - Chicago'!$C$1:$J$2762,2,FALSE)</f>
        <v>0</v>
      </c>
      <c r="E1307" t="s">
        <v>373</v>
      </c>
      <c r="F1307" s="71" t="s">
        <v>508</v>
      </c>
      <c r="G1307" s="71" t="s">
        <v>388</v>
      </c>
      <c r="H1307" s="71" t="s">
        <v>1671</v>
      </c>
      <c r="I1307" s="71" t="s">
        <v>1661</v>
      </c>
    </row>
    <row r="1308" spans="1:9" ht="43.5" x14ac:dyDescent="0.35">
      <c r="A1308">
        <v>8</v>
      </c>
      <c r="B1308">
        <v>95</v>
      </c>
      <c r="C1308" t="s">
        <v>1753</v>
      </c>
      <c r="D1308" s="64">
        <f>VLOOKUP(C1308,'CHAS - Cook Co'!$C$1:$J$2762,2,FALSE) - VLOOKUP(C1308,'CHAS - Chicago'!$C$1:$J$2762,2,FALSE)</f>
        <v>54040</v>
      </c>
      <c r="E1308" t="s">
        <v>366</v>
      </c>
      <c r="F1308" s="71" t="s">
        <v>508</v>
      </c>
      <c r="G1308" s="71" t="s">
        <v>397</v>
      </c>
      <c r="H1308" s="71" t="s">
        <v>1374</v>
      </c>
      <c r="I1308" s="71" t="s">
        <v>1653</v>
      </c>
    </row>
    <row r="1309" spans="1:9" ht="43.5" x14ac:dyDescent="0.35">
      <c r="A1309">
        <v>8</v>
      </c>
      <c r="B1309">
        <v>96</v>
      </c>
      <c r="C1309" t="s">
        <v>1754</v>
      </c>
      <c r="D1309" s="64">
        <f>VLOOKUP(C1309,'CHAS - Cook Co'!$C$1:$J$2762,2,FALSE) - VLOOKUP(C1309,'CHAS - Chicago'!$C$1:$J$2762,2,FALSE)</f>
        <v>34255</v>
      </c>
      <c r="E1309" t="s">
        <v>366</v>
      </c>
      <c r="F1309" s="71" t="s">
        <v>508</v>
      </c>
      <c r="G1309" s="71" t="s">
        <v>397</v>
      </c>
      <c r="H1309" s="71" t="s">
        <v>1657</v>
      </c>
      <c r="I1309" s="71" t="s">
        <v>1653</v>
      </c>
    </row>
    <row r="1310" spans="1:9" ht="43.5" x14ac:dyDescent="0.35">
      <c r="A1310">
        <v>8</v>
      </c>
      <c r="B1310">
        <v>97</v>
      </c>
      <c r="C1310" t="s">
        <v>1755</v>
      </c>
      <c r="D1310" s="64">
        <f>VLOOKUP(C1310,'CHAS - Cook Co'!$C$1:$J$2762,2,FALSE) - VLOOKUP(C1310,'CHAS - Chicago'!$C$1:$J$2762,2,FALSE)</f>
        <v>305</v>
      </c>
      <c r="E1310" t="s">
        <v>373</v>
      </c>
      <c r="F1310" s="71" t="s">
        <v>508</v>
      </c>
      <c r="G1310" s="71" t="s">
        <v>397</v>
      </c>
      <c r="H1310" s="71" t="s">
        <v>1657</v>
      </c>
      <c r="I1310" s="71" t="s">
        <v>1659</v>
      </c>
    </row>
    <row r="1311" spans="1:9" ht="43.5" x14ac:dyDescent="0.35">
      <c r="A1311">
        <v>8</v>
      </c>
      <c r="B1311">
        <v>98</v>
      </c>
      <c r="C1311" t="s">
        <v>1756</v>
      </c>
      <c r="D1311" s="64">
        <f>VLOOKUP(C1311,'CHAS - Cook Co'!$C$1:$J$2762,2,FALSE) - VLOOKUP(C1311,'CHAS - Chicago'!$C$1:$J$2762,2,FALSE)</f>
        <v>33950</v>
      </c>
      <c r="E1311" t="s">
        <v>373</v>
      </c>
      <c r="F1311" s="71" t="s">
        <v>508</v>
      </c>
      <c r="G1311" s="71" t="s">
        <v>397</v>
      </c>
      <c r="H1311" s="71" t="s">
        <v>1657</v>
      </c>
      <c r="I1311" s="71" t="s">
        <v>1661</v>
      </c>
    </row>
    <row r="1312" spans="1:9" ht="43.5" x14ac:dyDescent="0.35">
      <c r="A1312">
        <v>8</v>
      </c>
      <c r="B1312">
        <v>99</v>
      </c>
      <c r="C1312" t="s">
        <v>1757</v>
      </c>
      <c r="D1312" s="64">
        <f>VLOOKUP(C1312,'CHAS - Cook Co'!$C$1:$J$2762,2,FALSE) - VLOOKUP(C1312,'CHAS - Chicago'!$C$1:$J$2762,2,FALSE)</f>
        <v>17445</v>
      </c>
      <c r="E1312" t="s">
        <v>366</v>
      </c>
      <c r="F1312" s="71" t="s">
        <v>508</v>
      </c>
      <c r="G1312" s="71" t="s">
        <v>397</v>
      </c>
      <c r="H1312" s="71" t="s">
        <v>1663</v>
      </c>
      <c r="I1312" s="71" t="s">
        <v>1653</v>
      </c>
    </row>
    <row r="1313" spans="1:9" ht="43.5" x14ac:dyDescent="0.35">
      <c r="A1313">
        <v>8</v>
      </c>
      <c r="B1313">
        <v>100</v>
      </c>
      <c r="C1313" t="s">
        <v>1758</v>
      </c>
      <c r="D1313" s="64">
        <f>VLOOKUP(C1313,'CHAS - Cook Co'!$C$1:$J$2762,2,FALSE) - VLOOKUP(C1313,'CHAS - Chicago'!$C$1:$J$2762,2,FALSE)</f>
        <v>75</v>
      </c>
      <c r="E1313" t="s">
        <v>373</v>
      </c>
      <c r="F1313" s="71" t="s">
        <v>508</v>
      </c>
      <c r="G1313" s="71" t="s">
        <v>397</v>
      </c>
      <c r="H1313" s="71" t="s">
        <v>1663</v>
      </c>
      <c r="I1313" s="71" t="s">
        <v>1659</v>
      </c>
    </row>
    <row r="1314" spans="1:9" ht="43.5" x14ac:dyDescent="0.35">
      <c r="A1314">
        <v>8</v>
      </c>
      <c r="B1314">
        <v>101</v>
      </c>
      <c r="C1314" t="s">
        <v>1759</v>
      </c>
      <c r="D1314" s="64">
        <f>VLOOKUP(C1314,'CHAS - Cook Co'!$C$1:$J$2762,2,FALSE) - VLOOKUP(C1314,'CHAS - Chicago'!$C$1:$J$2762,2,FALSE)</f>
        <v>17370</v>
      </c>
      <c r="E1314" t="s">
        <v>373</v>
      </c>
      <c r="F1314" s="71" t="s">
        <v>508</v>
      </c>
      <c r="G1314" s="71" t="s">
        <v>397</v>
      </c>
      <c r="H1314" s="71" t="s">
        <v>1663</v>
      </c>
      <c r="I1314" s="71" t="s">
        <v>1661</v>
      </c>
    </row>
    <row r="1315" spans="1:9" ht="43.5" x14ac:dyDescent="0.35">
      <c r="A1315">
        <v>8</v>
      </c>
      <c r="B1315">
        <v>102</v>
      </c>
      <c r="C1315" t="s">
        <v>1760</v>
      </c>
      <c r="D1315" s="64">
        <f>VLOOKUP(C1315,'CHAS - Cook Co'!$C$1:$J$2762,2,FALSE) - VLOOKUP(C1315,'CHAS - Chicago'!$C$1:$J$2762,2,FALSE)</f>
        <v>2335</v>
      </c>
      <c r="E1315" t="s">
        <v>366</v>
      </c>
      <c r="F1315" s="71" t="s">
        <v>508</v>
      </c>
      <c r="G1315" s="71" t="s">
        <v>397</v>
      </c>
      <c r="H1315" s="71" t="s">
        <v>1667</v>
      </c>
      <c r="I1315" s="71" t="s">
        <v>1653</v>
      </c>
    </row>
    <row r="1316" spans="1:9" ht="43.5" x14ac:dyDescent="0.35">
      <c r="A1316">
        <v>8</v>
      </c>
      <c r="B1316">
        <v>103</v>
      </c>
      <c r="C1316" t="s">
        <v>1761</v>
      </c>
      <c r="D1316" s="64">
        <f>VLOOKUP(C1316,'CHAS - Cook Co'!$C$1:$J$2762,2,FALSE) - VLOOKUP(C1316,'CHAS - Chicago'!$C$1:$J$2762,2,FALSE)</f>
        <v>141</v>
      </c>
      <c r="E1316" t="s">
        <v>373</v>
      </c>
      <c r="F1316" s="71" t="s">
        <v>508</v>
      </c>
      <c r="G1316" s="71" t="s">
        <v>397</v>
      </c>
      <c r="H1316" s="71" t="s">
        <v>1667</v>
      </c>
      <c r="I1316" s="71" t="s">
        <v>1659</v>
      </c>
    </row>
    <row r="1317" spans="1:9" ht="43.5" x14ac:dyDescent="0.35">
      <c r="A1317">
        <v>8</v>
      </c>
      <c r="B1317">
        <v>104</v>
      </c>
      <c r="C1317" t="s">
        <v>1762</v>
      </c>
      <c r="D1317" s="64">
        <f>VLOOKUP(C1317,'CHAS - Cook Co'!$C$1:$J$2762,2,FALSE) - VLOOKUP(C1317,'CHAS - Chicago'!$C$1:$J$2762,2,FALSE)</f>
        <v>2195</v>
      </c>
      <c r="E1317" t="s">
        <v>373</v>
      </c>
      <c r="F1317" s="71" t="s">
        <v>508</v>
      </c>
      <c r="G1317" s="71" t="s">
        <v>397</v>
      </c>
      <c r="H1317" s="71" t="s">
        <v>1667</v>
      </c>
      <c r="I1317" s="71" t="s">
        <v>1661</v>
      </c>
    </row>
    <row r="1318" spans="1:9" ht="43.5" x14ac:dyDescent="0.35">
      <c r="A1318">
        <v>8</v>
      </c>
      <c r="B1318">
        <v>105</v>
      </c>
      <c r="C1318" t="s">
        <v>1763</v>
      </c>
      <c r="D1318" s="64">
        <f>VLOOKUP(C1318,'CHAS - Cook Co'!$C$1:$J$2762,2,FALSE) - VLOOKUP(C1318,'CHAS - Chicago'!$C$1:$J$2762,2,FALSE)</f>
        <v>0</v>
      </c>
      <c r="E1318" t="s">
        <v>366</v>
      </c>
      <c r="F1318" s="71" t="s">
        <v>508</v>
      </c>
      <c r="G1318" s="71" t="s">
        <v>397</v>
      </c>
      <c r="H1318" s="71" t="s">
        <v>1671</v>
      </c>
      <c r="I1318" s="71" t="s">
        <v>1653</v>
      </c>
    </row>
    <row r="1319" spans="1:9" ht="43.5" x14ac:dyDescent="0.35">
      <c r="A1319">
        <v>8</v>
      </c>
      <c r="B1319">
        <v>106</v>
      </c>
      <c r="C1319" t="s">
        <v>1764</v>
      </c>
      <c r="D1319" s="64">
        <f>VLOOKUP(C1319,'CHAS - Cook Co'!$C$1:$J$2762,2,FALSE) - VLOOKUP(C1319,'CHAS - Chicago'!$C$1:$J$2762,2,FALSE)</f>
        <v>0</v>
      </c>
      <c r="E1319" t="s">
        <v>373</v>
      </c>
      <c r="F1319" s="71" t="s">
        <v>508</v>
      </c>
      <c r="G1319" s="71" t="s">
        <v>397</v>
      </c>
      <c r="H1319" s="71" t="s">
        <v>1671</v>
      </c>
      <c r="I1319" s="71" t="s">
        <v>1659</v>
      </c>
    </row>
    <row r="1320" spans="1:9" ht="43.5" x14ac:dyDescent="0.35">
      <c r="A1320">
        <v>8</v>
      </c>
      <c r="B1320">
        <v>107</v>
      </c>
      <c r="C1320" t="s">
        <v>1765</v>
      </c>
      <c r="D1320" s="64">
        <f>VLOOKUP(C1320,'CHAS - Cook Co'!$C$1:$J$2762,2,FALSE) - VLOOKUP(C1320,'CHAS - Chicago'!$C$1:$J$2762,2,FALSE)</f>
        <v>0</v>
      </c>
      <c r="E1320" t="s">
        <v>373</v>
      </c>
      <c r="F1320" s="71" t="s">
        <v>508</v>
      </c>
      <c r="G1320" s="71" t="s">
        <v>397</v>
      </c>
      <c r="H1320" s="71" t="s">
        <v>1671</v>
      </c>
      <c r="I1320" s="71" t="s">
        <v>1661</v>
      </c>
    </row>
    <row r="1321" spans="1:9" ht="43.5" x14ac:dyDescent="0.35">
      <c r="A1321">
        <v>8</v>
      </c>
      <c r="B1321">
        <v>108</v>
      </c>
      <c r="C1321" t="s">
        <v>1766</v>
      </c>
      <c r="D1321" s="64">
        <f>VLOOKUP(C1321,'CHAS - Cook Co'!$C$1:$J$2762,2,FALSE) - VLOOKUP(C1321,'CHAS - Chicago'!$C$1:$J$2762,2,FALSE)</f>
        <v>27315</v>
      </c>
      <c r="E1321" t="s">
        <v>366</v>
      </c>
      <c r="F1321" s="71" t="s">
        <v>508</v>
      </c>
      <c r="G1321" s="71" t="s">
        <v>406</v>
      </c>
      <c r="H1321" s="71" t="s">
        <v>1374</v>
      </c>
      <c r="I1321" s="71" t="s">
        <v>1653</v>
      </c>
    </row>
    <row r="1322" spans="1:9" ht="43.5" x14ac:dyDescent="0.35">
      <c r="A1322">
        <v>8</v>
      </c>
      <c r="B1322">
        <v>109</v>
      </c>
      <c r="C1322" t="s">
        <v>1767</v>
      </c>
      <c r="D1322" s="64">
        <f>VLOOKUP(C1322,'CHAS - Cook Co'!$C$1:$J$2762,2,FALSE) - VLOOKUP(C1322,'CHAS - Chicago'!$C$1:$J$2762,2,FALSE)</f>
        <v>23720</v>
      </c>
      <c r="E1322" t="s">
        <v>366</v>
      </c>
      <c r="F1322" s="71" t="s">
        <v>508</v>
      </c>
      <c r="G1322" s="71" t="s">
        <v>406</v>
      </c>
      <c r="H1322" s="71" t="s">
        <v>1657</v>
      </c>
      <c r="I1322" s="71" t="s">
        <v>1653</v>
      </c>
    </row>
    <row r="1323" spans="1:9" ht="43.5" x14ac:dyDescent="0.35">
      <c r="A1323">
        <v>8</v>
      </c>
      <c r="B1323">
        <v>110</v>
      </c>
      <c r="C1323" t="s">
        <v>1768</v>
      </c>
      <c r="D1323" s="64">
        <f>VLOOKUP(C1323,'CHAS - Cook Co'!$C$1:$J$2762,2,FALSE) - VLOOKUP(C1323,'CHAS - Chicago'!$C$1:$J$2762,2,FALSE)</f>
        <v>170</v>
      </c>
      <c r="E1323" t="s">
        <v>373</v>
      </c>
      <c r="F1323" s="71" t="s">
        <v>508</v>
      </c>
      <c r="G1323" s="71" t="s">
        <v>406</v>
      </c>
      <c r="H1323" s="71" t="s">
        <v>1657</v>
      </c>
      <c r="I1323" s="71" t="s">
        <v>1659</v>
      </c>
    </row>
    <row r="1324" spans="1:9" ht="43.5" x14ac:dyDescent="0.35">
      <c r="A1324">
        <v>8</v>
      </c>
      <c r="B1324">
        <v>111</v>
      </c>
      <c r="C1324" t="s">
        <v>1769</v>
      </c>
      <c r="D1324" s="64">
        <f>VLOOKUP(C1324,'CHAS - Cook Co'!$C$1:$J$2762,2,FALSE) - VLOOKUP(C1324,'CHAS - Chicago'!$C$1:$J$2762,2,FALSE)</f>
        <v>23550</v>
      </c>
      <c r="E1324" t="s">
        <v>373</v>
      </c>
      <c r="F1324" s="71" t="s">
        <v>508</v>
      </c>
      <c r="G1324" s="71" t="s">
        <v>406</v>
      </c>
      <c r="H1324" s="71" t="s">
        <v>1657</v>
      </c>
      <c r="I1324" s="71" t="s">
        <v>1661</v>
      </c>
    </row>
    <row r="1325" spans="1:9" ht="43.5" x14ac:dyDescent="0.35">
      <c r="A1325">
        <v>8</v>
      </c>
      <c r="B1325">
        <v>112</v>
      </c>
      <c r="C1325" t="s">
        <v>1770</v>
      </c>
      <c r="D1325" s="64">
        <f>VLOOKUP(C1325,'CHAS - Cook Co'!$C$1:$J$2762,2,FALSE) - VLOOKUP(C1325,'CHAS - Chicago'!$C$1:$J$2762,2,FALSE)</f>
        <v>3295</v>
      </c>
      <c r="E1325" t="s">
        <v>366</v>
      </c>
      <c r="F1325" s="71" t="s">
        <v>508</v>
      </c>
      <c r="G1325" s="71" t="s">
        <v>406</v>
      </c>
      <c r="H1325" s="71" t="s">
        <v>1663</v>
      </c>
      <c r="I1325" s="71" t="s">
        <v>1653</v>
      </c>
    </row>
    <row r="1326" spans="1:9" ht="43.5" x14ac:dyDescent="0.35">
      <c r="A1326">
        <v>8</v>
      </c>
      <c r="B1326">
        <v>113</v>
      </c>
      <c r="C1326" t="s">
        <v>1771</v>
      </c>
      <c r="D1326" s="64">
        <f>VLOOKUP(C1326,'CHAS - Cook Co'!$C$1:$J$2762,2,FALSE) - VLOOKUP(C1326,'CHAS - Chicago'!$C$1:$J$2762,2,FALSE)</f>
        <v>50</v>
      </c>
      <c r="E1326" t="s">
        <v>373</v>
      </c>
      <c r="F1326" s="71" t="s">
        <v>508</v>
      </c>
      <c r="G1326" s="71" t="s">
        <v>406</v>
      </c>
      <c r="H1326" s="71" t="s">
        <v>1663</v>
      </c>
      <c r="I1326" s="71" t="s">
        <v>1659</v>
      </c>
    </row>
    <row r="1327" spans="1:9" ht="43.5" x14ac:dyDescent="0.35">
      <c r="A1327">
        <v>8</v>
      </c>
      <c r="B1327">
        <v>114</v>
      </c>
      <c r="C1327" t="s">
        <v>1772</v>
      </c>
      <c r="D1327" s="64">
        <f>VLOOKUP(C1327,'CHAS - Cook Co'!$C$1:$J$2762,2,FALSE) - VLOOKUP(C1327,'CHAS - Chicago'!$C$1:$J$2762,2,FALSE)</f>
        <v>3245</v>
      </c>
      <c r="E1327" t="s">
        <v>373</v>
      </c>
      <c r="F1327" s="71" t="s">
        <v>508</v>
      </c>
      <c r="G1327" s="71" t="s">
        <v>406</v>
      </c>
      <c r="H1327" s="71" t="s">
        <v>1663</v>
      </c>
      <c r="I1327" s="71" t="s">
        <v>1661</v>
      </c>
    </row>
    <row r="1328" spans="1:9" ht="43.5" x14ac:dyDescent="0.35">
      <c r="A1328">
        <v>8</v>
      </c>
      <c r="B1328">
        <v>115</v>
      </c>
      <c r="C1328" t="s">
        <v>1773</v>
      </c>
      <c r="D1328" s="64">
        <f>VLOOKUP(C1328,'CHAS - Cook Co'!$C$1:$J$2762,2,FALSE) - VLOOKUP(C1328,'CHAS - Chicago'!$C$1:$J$2762,2,FALSE)</f>
        <v>295</v>
      </c>
      <c r="E1328" t="s">
        <v>366</v>
      </c>
      <c r="F1328" s="71" t="s">
        <v>508</v>
      </c>
      <c r="G1328" s="71" t="s">
        <v>406</v>
      </c>
      <c r="H1328" s="71" t="s">
        <v>1667</v>
      </c>
      <c r="I1328" s="71" t="s">
        <v>1653</v>
      </c>
    </row>
    <row r="1329" spans="1:9" ht="43.5" x14ac:dyDescent="0.35">
      <c r="A1329">
        <v>8</v>
      </c>
      <c r="B1329">
        <v>116</v>
      </c>
      <c r="C1329" t="s">
        <v>1774</v>
      </c>
      <c r="D1329" s="64">
        <f>VLOOKUP(C1329,'CHAS - Cook Co'!$C$1:$J$2762,2,FALSE) - VLOOKUP(C1329,'CHAS - Chicago'!$C$1:$J$2762,2,FALSE)</f>
        <v>25</v>
      </c>
      <c r="E1329" t="s">
        <v>373</v>
      </c>
      <c r="F1329" s="71" t="s">
        <v>508</v>
      </c>
      <c r="G1329" s="71" t="s">
        <v>406</v>
      </c>
      <c r="H1329" s="71" t="s">
        <v>1667</v>
      </c>
      <c r="I1329" s="71" t="s">
        <v>1659</v>
      </c>
    </row>
    <row r="1330" spans="1:9" ht="43.5" x14ac:dyDescent="0.35">
      <c r="A1330">
        <v>8</v>
      </c>
      <c r="B1330">
        <v>117</v>
      </c>
      <c r="C1330" t="s">
        <v>1775</v>
      </c>
      <c r="D1330" s="64">
        <f>VLOOKUP(C1330,'CHAS - Cook Co'!$C$1:$J$2762,2,FALSE) - VLOOKUP(C1330,'CHAS - Chicago'!$C$1:$J$2762,2,FALSE)</f>
        <v>275</v>
      </c>
      <c r="E1330" t="s">
        <v>373</v>
      </c>
      <c r="F1330" s="71" t="s">
        <v>508</v>
      </c>
      <c r="G1330" s="71" t="s">
        <v>406</v>
      </c>
      <c r="H1330" s="71" t="s">
        <v>1667</v>
      </c>
      <c r="I1330" s="71" t="s">
        <v>1661</v>
      </c>
    </row>
    <row r="1331" spans="1:9" ht="43.5" x14ac:dyDescent="0.35">
      <c r="A1331">
        <v>8</v>
      </c>
      <c r="B1331">
        <v>118</v>
      </c>
      <c r="C1331" t="s">
        <v>1776</v>
      </c>
      <c r="D1331" s="64">
        <f>VLOOKUP(C1331,'CHAS - Cook Co'!$C$1:$J$2762,2,FALSE) - VLOOKUP(C1331,'CHAS - Chicago'!$C$1:$J$2762,2,FALSE)</f>
        <v>0</v>
      </c>
      <c r="E1331" t="s">
        <v>366</v>
      </c>
      <c r="F1331" s="71" t="s">
        <v>508</v>
      </c>
      <c r="G1331" s="71" t="s">
        <v>406</v>
      </c>
      <c r="H1331" s="71" t="s">
        <v>1671</v>
      </c>
      <c r="I1331" s="71" t="s">
        <v>1653</v>
      </c>
    </row>
    <row r="1332" spans="1:9" ht="43.5" x14ac:dyDescent="0.35">
      <c r="A1332">
        <v>8</v>
      </c>
      <c r="B1332">
        <v>119</v>
      </c>
      <c r="C1332" t="s">
        <v>1777</v>
      </c>
      <c r="D1332" s="64">
        <f>VLOOKUP(C1332,'CHAS - Cook Co'!$C$1:$J$2762,2,FALSE) - VLOOKUP(C1332,'CHAS - Chicago'!$C$1:$J$2762,2,FALSE)</f>
        <v>0</v>
      </c>
      <c r="E1332" t="s">
        <v>373</v>
      </c>
      <c r="F1332" s="71" t="s">
        <v>508</v>
      </c>
      <c r="G1332" s="71" t="s">
        <v>406</v>
      </c>
      <c r="H1332" s="71" t="s">
        <v>1671</v>
      </c>
      <c r="I1332" s="71" t="s">
        <v>1659</v>
      </c>
    </row>
    <row r="1333" spans="1:9" ht="43.5" x14ac:dyDescent="0.35">
      <c r="A1333">
        <v>8</v>
      </c>
      <c r="B1333">
        <v>120</v>
      </c>
      <c r="C1333" t="s">
        <v>1778</v>
      </c>
      <c r="D1333" s="64">
        <f>VLOOKUP(C1333,'CHAS - Cook Co'!$C$1:$J$2762,2,FALSE) - VLOOKUP(C1333,'CHAS - Chicago'!$C$1:$J$2762,2,FALSE)</f>
        <v>0</v>
      </c>
      <c r="E1333" t="s">
        <v>373</v>
      </c>
      <c r="F1333" s="71" t="s">
        <v>508</v>
      </c>
      <c r="G1333" s="71" t="s">
        <v>406</v>
      </c>
      <c r="H1333" s="71" t="s">
        <v>1671</v>
      </c>
      <c r="I1333" s="71" t="s">
        <v>1661</v>
      </c>
    </row>
    <row r="1334" spans="1:9" ht="29" x14ac:dyDescent="0.35">
      <c r="A1334">
        <v>8</v>
      </c>
      <c r="B1334">
        <v>121</v>
      </c>
      <c r="C1334" t="s">
        <v>1779</v>
      </c>
      <c r="D1334" s="64">
        <f>VLOOKUP(C1334,'CHAS - Cook Co'!$C$1:$J$2762,2,FALSE) - VLOOKUP(C1334,'CHAS - Chicago'!$C$1:$J$2762,2,FALSE)</f>
        <v>62140</v>
      </c>
      <c r="E1334" t="s">
        <v>366</v>
      </c>
      <c r="F1334" s="71" t="s">
        <v>508</v>
      </c>
      <c r="G1334" s="71" t="s">
        <v>415</v>
      </c>
      <c r="H1334" s="71" t="s">
        <v>1374</v>
      </c>
      <c r="I1334" s="71" t="s">
        <v>1653</v>
      </c>
    </row>
    <row r="1335" spans="1:9" ht="29" x14ac:dyDescent="0.35">
      <c r="A1335">
        <v>8</v>
      </c>
      <c r="B1335">
        <v>122</v>
      </c>
      <c r="C1335" t="s">
        <v>1780</v>
      </c>
      <c r="D1335" s="64">
        <f>VLOOKUP(C1335,'CHAS - Cook Co'!$C$1:$J$2762,2,FALSE) - VLOOKUP(C1335,'CHAS - Chicago'!$C$1:$J$2762,2,FALSE)</f>
        <v>59695</v>
      </c>
      <c r="E1335" t="s">
        <v>366</v>
      </c>
      <c r="F1335" s="71" t="s">
        <v>508</v>
      </c>
      <c r="G1335" s="71" t="s">
        <v>415</v>
      </c>
      <c r="H1335" s="71" t="s">
        <v>1657</v>
      </c>
      <c r="I1335" s="71" t="s">
        <v>1653</v>
      </c>
    </row>
    <row r="1336" spans="1:9" ht="43.5" x14ac:dyDescent="0.35">
      <c r="A1336">
        <v>8</v>
      </c>
      <c r="B1336">
        <v>123</v>
      </c>
      <c r="C1336" t="s">
        <v>1781</v>
      </c>
      <c r="D1336" s="64">
        <f>VLOOKUP(C1336,'CHAS - Cook Co'!$C$1:$J$2762,2,FALSE) - VLOOKUP(C1336,'CHAS - Chicago'!$C$1:$J$2762,2,FALSE)</f>
        <v>585</v>
      </c>
      <c r="E1336" t="s">
        <v>373</v>
      </c>
      <c r="F1336" s="71" t="s">
        <v>508</v>
      </c>
      <c r="G1336" s="71" t="s">
        <v>415</v>
      </c>
      <c r="H1336" s="71" t="s">
        <v>1657</v>
      </c>
      <c r="I1336" s="71" t="s">
        <v>1659</v>
      </c>
    </row>
    <row r="1337" spans="1:9" ht="43.5" x14ac:dyDescent="0.35">
      <c r="A1337">
        <v>8</v>
      </c>
      <c r="B1337">
        <v>124</v>
      </c>
      <c r="C1337" t="s">
        <v>1782</v>
      </c>
      <c r="D1337" s="64">
        <f>VLOOKUP(C1337,'CHAS - Cook Co'!$C$1:$J$2762,2,FALSE) - VLOOKUP(C1337,'CHAS - Chicago'!$C$1:$J$2762,2,FALSE)</f>
        <v>59110</v>
      </c>
      <c r="E1337" t="s">
        <v>373</v>
      </c>
      <c r="F1337" s="71" t="s">
        <v>508</v>
      </c>
      <c r="G1337" s="71" t="s">
        <v>415</v>
      </c>
      <c r="H1337" s="71" t="s">
        <v>1657</v>
      </c>
      <c r="I1337" s="71" t="s">
        <v>1661</v>
      </c>
    </row>
    <row r="1338" spans="1:9" ht="29" x14ac:dyDescent="0.35">
      <c r="A1338">
        <v>8</v>
      </c>
      <c r="B1338">
        <v>125</v>
      </c>
      <c r="C1338" t="s">
        <v>1783</v>
      </c>
      <c r="D1338" s="64">
        <f>VLOOKUP(C1338,'CHAS - Cook Co'!$C$1:$J$2762,2,FALSE) - VLOOKUP(C1338,'CHAS - Chicago'!$C$1:$J$2762,2,FALSE)</f>
        <v>2160</v>
      </c>
      <c r="E1338" t="s">
        <v>366</v>
      </c>
      <c r="F1338" s="71" t="s">
        <v>508</v>
      </c>
      <c r="G1338" s="71" t="s">
        <v>415</v>
      </c>
      <c r="H1338" s="71" t="s">
        <v>1663</v>
      </c>
      <c r="I1338" s="71" t="s">
        <v>1653</v>
      </c>
    </row>
    <row r="1339" spans="1:9" ht="43.5" x14ac:dyDescent="0.35">
      <c r="A1339">
        <v>8</v>
      </c>
      <c r="B1339">
        <v>126</v>
      </c>
      <c r="C1339" t="s">
        <v>1784</v>
      </c>
      <c r="D1339" s="64">
        <f>VLOOKUP(C1339,'CHAS - Cook Co'!$C$1:$J$2762,2,FALSE) - VLOOKUP(C1339,'CHAS - Chicago'!$C$1:$J$2762,2,FALSE)</f>
        <v>30</v>
      </c>
      <c r="E1339" t="s">
        <v>373</v>
      </c>
      <c r="F1339" s="71" t="s">
        <v>508</v>
      </c>
      <c r="G1339" s="71" t="s">
        <v>415</v>
      </c>
      <c r="H1339" s="71" t="s">
        <v>1663</v>
      </c>
      <c r="I1339" s="71" t="s">
        <v>1659</v>
      </c>
    </row>
    <row r="1340" spans="1:9" ht="43.5" x14ac:dyDescent="0.35">
      <c r="A1340">
        <v>8</v>
      </c>
      <c r="B1340">
        <v>127</v>
      </c>
      <c r="C1340" t="s">
        <v>1785</v>
      </c>
      <c r="D1340" s="64">
        <f>VLOOKUP(C1340,'CHAS - Cook Co'!$C$1:$J$2762,2,FALSE) - VLOOKUP(C1340,'CHAS - Chicago'!$C$1:$J$2762,2,FALSE)</f>
        <v>2130</v>
      </c>
      <c r="E1340" t="s">
        <v>373</v>
      </c>
      <c r="F1340" s="71" t="s">
        <v>508</v>
      </c>
      <c r="G1340" s="71" t="s">
        <v>415</v>
      </c>
      <c r="H1340" s="71" t="s">
        <v>1663</v>
      </c>
      <c r="I1340" s="71" t="s">
        <v>1661</v>
      </c>
    </row>
    <row r="1341" spans="1:9" ht="29" x14ac:dyDescent="0.35">
      <c r="A1341">
        <v>8</v>
      </c>
      <c r="B1341">
        <v>128</v>
      </c>
      <c r="C1341" t="s">
        <v>1786</v>
      </c>
      <c r="D1341" s="64">
        <f>VLOOKUP(C1341,'CHAS - Cook Co'!$C$1:$J$2762,2,FALSE) - VLOOKUP(C1341,'CHAS - Chicago'!$C$1:$J$2762,2,FALSE)</f>
        <v>285</v>
      </c>
      <c r="E1341" t="s">
        <v>366</v>
      </c>
      <c r="F1341" s="71" t="s">
        <v>508</v>
      </c>
      <c r="G1341" s="71" t="s">
        <v>415</v>
      </c>
      <c r="H1341" s="71" t="s">
        <v>1667</v>
      </c>
      <c r="I1341" s="71" t="s">
        <v>1653</v>
      </c>
    </row>
    <row r="1342" spans="1:9" ht="43.5" x14ac:dyDescent="0.35">
      <c r="A1342">
        <v>8</v>
      </c>
      <c r="B1342">
        <v>129</v>
      </c>
      <c r="C1342" t="s">
        <v>1787</v>
      </c>
      <c r="D1342" s="64">
        <f>VLOOKUP(C1342,'CHAS - Cook Co'!$C$1:$J$2762,2,FALSE) - VLOOKUP(C1342,'CHAS - Chicago'!$C$1:$J$2762,2,FALSE)</f>
        <v>15</v>
      </c>
      <c r="E1342" t="s">
        <v>373</v>
      </c>
      <c r="F1342" s="71" t="s">
        <v>508</v>
      </c>
      <c r="G1342" s="71" t="s">
        <v>415</v>
      </c>
      <c r="H1342" s="71" t="s">
        <v>1667</v>
      </c>
      <c r="I1342" s="71" t="s">
        <v>1659</v>
      </c>
    </row>
    <row r="1343" spans="1:9" ht="43.5" x14ac:dyDescent="0.35">
      <c r="A1343">
        <v>8</v>
      </c>
      <c r="B1343">
        <v>130</v>
      </c>
      <c r="C1343" t="s">
        <v>1788</v>
      </c>
      <c r="D1343" s="64">
        <f>VLOOKUP(C1343,'CHAS - Cook Co'!$C$1:$J$2762,2,FALSE) - VLOOKUP(C1343,'CHAS - Chicago'!$C$1:$J$2762,2,FALSE)</f>
        <v>270</v>
      </c>
      <c r="E1343" t="s">
        <v>373</v>
      </c>
      <c r="F1343" s="71" t="s">
        <v>508</v>
      </c>
      <c r="G1343" s="71" t="s">
        <v>415</v>
      </c>
      <c r="H1343" s="71" t="s">
        <v>1667</v>
      </c>
      <c r="I1343" s="71" t="s">
        <v>1661</v>
      </c>
    </row>
    <row r="1344" spans="1:9" ht="29" x14ac:dyDescent="0.35">
      <c r="A1344">
        <v>8</v>
      </c>
      <c r="B1344">
        <v>131</v>
      </c>
      <c r="C1344" t="s">
        <v>1789</v>
      </c>
      <c r="D1344" s="64">
        <f>VLOOKUP(C1344,'CHAS - Cook Co'!$C$1:$J$2762,2,FALSE) - VLOOKUP(C1344,'CHAS - Chicago'!$C$1:$J$2762,2,FALSE)</f>
        <v>0</v>
      </c>
      <c r="E1344" t="s">
        <v>366</v>
      </c>
      <c r="F1344" s="71" t="s">
        <v>508</v>
      </c>
      <c r="G1344" s="71" t="s">
        <v>415</v>
      </c>
      <c r="H1344" s="71" t="s">
        <v>1671</v>
      </c>
      <c r="I1344" s="71" t="s">
        <v>1653</v>
      </c>
    </row>
    <row r="1345" spans="1:9" ht="43.5" x14ac:dyDescent="0.35">
      <c r="A1345">
        <v>8</v>
      </c>
      <c r="B1345">
        <v>132</v>
      </c>
      <c r="C1345" t="s">
        <v>1790</v>
      </c>
      <c r="D1345" s="64">
        <f>VLOOKUP(C1345,'CHAS - Cook Co'!$C$1:$J$2762,2,FALSE) - VLOOKUP(C1345,'CHAS - Chicago'!$C$1:$J$2762,2,FALSE)</f>
        <v>0</v>
      </c>
      <c r="E1345" t="s">
        <v>373</v>
      </c>
      <c r="F1345" s="71" t="s">
        <v>508</v>
      </c>
      <c r="G1345" s="71" t="s">
        <v>415</v>
      </c>
      <c r="H1345" s="71" t="s">
        <v>1671</v>
      </c>
      <c r="I1345" s="71" t="s">
        <v>1659</v>
      </c>
    </row>
    <row r="1346" spans="1:9" ht="43.5" x14ac:dyDescent="0.35">
      <c r="A1346">
        <v>8</v>
      </c>
      <c r="B1346">
        <v>133</v>
      </c>
      <c r="C1346" t="s">
        <v>1791</v>
      </c>
      <c r="D1346" s="64">
        <f>VLOOKUP(C1346,'CHAS - Cook Co'!$C$1:$J$2762,2,FALSE) - VLOOKUP(C1346,'CHAS - Chicago'!$C$1:$J$2762,2,FALSE)</f>
        <v>0</v>
      </c>
      <c r="E1346" t="s">
        <v>373</v>
      </c>
      <c r="F1346" s="71" t="s">
        <v>508</v>
      </c>
      <c r="G1346" s="71" t="s">
        <v>415</v>
      </c>
      <c r="H1346" s="71" t="s">
        <v>1671</v>
      </c>
      <c r="I1346" s="71" t="s">
        <v>1661</v>
      </c>
    </row>
    <row r="1347" spans="1:9" ht="29" x14ac:dyDescent="0.35">
      <c r="A1347">
        <v>9</v>
      </c>
      <c r="B1347">
        <v>1</v>
      </c>
      <c r="C1347" t="s">
        <v>1792</v>
      </c>
      <c r="D1347" s="64">
        <f>VLOOKUP(C1347,'CHAS - Cook Co'!$C$1:$J$2762,2,FALSE) - VLOOKUP(C1347,'CHAS - Chicago'!$C$1:$J$2762,2,FALSE)</f>
        <v>909025</v>
      </c>
      <c r="E1347" t="s">
        <v>26</v>
      </c>
      <c r="F1347" s="71" t="s">
        <v>361</v>
      </c>
      <c r="G1347" s="71" t="s">
        <v>364</v>
      </c>
      <c r="H1347" s="71" t="s">
        <v>1374</v>
      </c>
    </row>
    <row r="1348" spans="1:9" x14ac:dyDescent="0.35">
      <c r="A1348">
        <v>9</v>
      </c>
      <c r="B1348">
        <v>2</v>
      </c>
      <c r="C1348" t="s">
        <v>1793</v>
      </c>
      <c r="D1348" s="64">
        <f>VLOOKUP(C1348,'CHAS - Cook Co'!$C$1:$J$2762,2,FALSE) - VLOOKUP(C1348,'CHAS - Chicago'!$C$1:$J$2762,2,FALSE)</f>
        <v>645280</v>
      </c>
      <c r="E1348" t="s">
        <v>366</v>
      </c>
      <c r="F1348" s="71" t="s">
        <v>367</v>
      </c>
      <c r="G1348" s="71" t="s">
        <v>364</v>
      </c>
      <c r="H1348" s="71" t="s">
        <v>1374</v>
      </c>
    </row>
    <row r="1349" spans="1:9" ht="29" x14ac:dyDescent="0.35">
      <c r="A1349">
        <v>9</v>
      </c>
      <c r="B1349">
        <v>3</v>
      </c>
      <c r="C1349" t="s">
        <v>1794</v>
      </c>
      <c r="D1349" s="64">
        <f>VLOOKUP(C1349,'CHAS - Cook Co'!$C$1:$J$2762,2,FALSE) - VLOOKUP(C1349,'CHAS - Chicago'!$C$1:$J$2762,2,FALSE)</f>
        <v>451900</v>
      </c>
      <c r="E1349" t="s">
        <v>366</v>
      </c>
      <c r="F1349" s="71" t="s">
        <v>367</v>
      </c>
      <c r="G1349" s="71" t="s">
        <v>374</v>
      </c>
      <c r="H1349" s="71" t="s">
        <v>1374</v>
      </c>
    </row>
    <row r="1350" spans="1:9" ht="29" x14ac:dyDescent="0.35">
      <c r="A1350">
        <v>9</v>
      </c>
      <c r="B1350">
        <v>4</v>
      </c>
      <c r="C1350" t="s">
        <v>1795</v>
      </c>
      <c r="D1350" s="64">
        <f>VLOOKUP(C1350,'CHAS - Cook Co'!$C$1:$J$2762,2,FALSE) - VLOOKUP(C1350,'CHAS - Chicago'!$C$1:$J$2762,2,FALSE)</f>
        <v>321265</v>
      </c>
      <c r="E1350" t="s">
        <v>373</v>
      </c>
      <c r="F1350" s="71" t="s">
        <v>367</v>
      </c>
      <c r="G1350" s="71" t="s">
        <v>374</v>
      </c>
      <c r="H1350" s="71" t="s">
        <v>1657</v>
      </c>
    </row>
    <row r="1351" spans="1:9" ht="29" x14ac:dyDescent="0.35">
      <c r="A1351">
        <v>9</v>
      </c>
      <c r="B1351">
        <v>5</v>
      </c>
      <c r="C1351" t="s">
        <v>1796</v>
      </c>
      <c r="D1351" s="64">
        <f>VLOOKUP(C1351,'CHAS - Cook Co'!$C$1:$J$2762,2,FALSE) - VLOOKUP(C1351,'CHAS - Chicago'!$C$1:$J$2762,2,FALSE)</f>
        <v>72080</v>
      </c>
      <c r="E1351" t="s">
        <v>373</v>
      </c>
      <c r="F1351" s="71" t="s">
        <v>367</v>
      </c>
      <c r="G1351" s="71" t="s">
        <v>374</v>
      </c>
      <c r="H1351" s="71" t="s">
        <v>1663</v>
      </c>
    </row>
    <row r="1352" spans="1:9" ht="29" x14ac:dyDescent="0.35">
      <c r="A1352">
        <v>9</v>
      </c>
      <c r="B1352">
        <v>6</v>
      </c>
      <c r="C1352" t="s">
        <v>1797</v>
      </c>
      <c r="D1352" s="64">
        <f>VLOOKUP(C1352,'CHAS - Cook Co'!$C$1:$J$2762,2,FALSE) - VLOOKUP(C1352,'CHAS - Chicago'!$C$1:$J$2762,2,FALSE)</f>
        <v>54990</v>
      </c>
      <c r="E1352" t="s">
        <v>373</v>
      </c>
      <c r="F1352" s="71" t="s">
        <v>367</v>
      </c>
      <c r="G1352" s="71" t="s">
        <v>374</v>
      </c>
      <c r="H1352" s="71" t="s">
        <v>1667</v>
      </c>
    </row>
    <row r="1353" spans="1:9" ht="29" x14ac:dyDescent="0.35">
      <c r="A1353">
        <v>9</v>
      </c>
      <c r="B1353">
        <v>7</v>
      </c>
      <c r="C1353" t="s">
        <v>1798</v>
      </c>
      <c r="D1353" s="64">
        <f>VLOOKUP(C1353,'CHAS - Cook Co'!$C$1:$J$2762,2,FALSE) - VLOOKUP(C1353,'CHAS - Chicago'!$C$1:$J$2762,2,FALSE)</f>
        <v>3560</v>
      </c>
      <c r="E1353" t="s">
        <v>373</v>
      </c>
      <c r="F1353" s="71" t="s">
        <v>367</v>
      </c>
      <c r="G1353" s="71" t="s">
        <v>374</v>
      </c>
      <c r="H1353" s="71" t="s">
        <v>1671</v>
      </c>
    </row>
    <row r="1354" spans="1:9" ht="29" x14ac:dyDescent="0.35">
      <c r="A1354">
        <v>9</v>
      </c>
      <c r="B1354">
        <v>8</v>
      </c>
      <c r="C1354" t="s">
        <v>1799</v>
      </c>
      <c r="D1354" s="64">
        <f>VLOOKUP(C1354,'CHAS - Cook Co'!$C$1:$J$2762,2,FALSE) - VLOOKUP(C1354,'CHAS - Chicago'!$C$1:$J$2762,2,FALSE)</f>
        <v>76165</v>
      </c>
      <c r="E1354" t="s">
        <v>366</v>
      </c>
      <c r="F1354" s="71" t="s">
        <v>367</v>
      </c>
      <c r="G1354" s="71" t="s">
        <v>376</v>
      </c>
      <c r="H1354" s="71" t="s">
        <v>1374</v>
      </c>
    </row>
    <row r="1355" spans="1:9" ht="29" x14ac:dyDescent="0.35">
      <c r="A1355">
        <v>9</v>
      </c>
      <c r="B1355">
        <v>9</v>
      </c>
      <c r="C1355" t="s">
        <v>1800</v>
      </c>
      <c r="D1355" s="64">
        <f>VLOOKUP(C1355,'CHAS - Cook Co'!$C$1:$J$2762,2,FALSE) - VLOOKUP(C1355,'CHAS - Chicago'!$C$1:$J$2762,2,FALSE)</f>
        <v>46930</v>
      </c>
      <c r="E1355" t="s">
        <v>373</v>
      </c>
      <c r="F1355" s="71" t="s">
        <v>367</v>
      </c>
      <c r="G1355" s="71" t="s">
        <v>376</v>
      </c>
      <c r="H1355" s="71" t="s">
        <v>1657</v>
      </c>
    </row>
    <row r="1356" spans="1:9" ht="29" x14ac:dyDescent="0.35">
      <c r="A1356">
        <v>9</v>
      </c>
      <c r="B1356">
        <v>10</v>
      </c>
      <c r="C1356" t="s">
        <v>1801</v>
      </c>
      <c r="D1356" s="64">
        <f>VLOOKUP(C1356,'CHAS - Cook Co'!$C$1:$J$2762,2,FALSE) - VLOOKUP(C1356,'CHAS - Chicago'!$C$1:$J$2762,2,FALSE)</f>
        <v>15115</v>
      </c>
      <c r="E1356" t="s">
        <v>373</v>
      </c>
      <c r="F1356" s="71" t="s">
        <v>367</v>
      </c>
      <c r="G1356" s="71" t="s">
        <v>376</v>
      </c>
      <c r="H1356" s="71" t="s">
        <v>1663</v>
      </c>
    </row>
    <row r="1357" spans="1:9" ht="29" x14ac:dyDescent="0.35">
      <c r="A1357">
        <v>9</v>
      </c>
      <c r="B1357">
        <v>11</v>
      </c>
      <c r="C1357" t="s">
        <v>1802</v>
      </c>
      <c r="D1357" s="64">
        <f>VLOOKUP(C1357,'CHAS - Cook Co'!$C$1:$J$2762,2,FALSE) - VLOOKUP(C1357,'CHAS - Chicago'!$C$1:$J$2762,2,FALSE)</f>
        <v>13050</v>
      </c>
      <c r="E1357" t="s">
        <v>373</v>
      </c>
      <c r="F1357" s="71" t="s">
        <v>367</v>
      </c>
      <c r="G1357" s="71" t="s">
        <v>376</v>
      </c>
      <c r="H1357" s="71" t="s">
        <v>1667</v>
      </c>
    </row>
    <row r="1358" spans="1:9" ht="29" x14ac:dyDescent="0.35">
      <c r="A1358">
        <v>9</v>
      </c>
      <c r="B1358">
        <v>12</v>
      </c>
      <c r="C1358" t="s">
        <v>1803</v>
      </c>
      <c r="D1358" s="64">
        <f>VLOOKUP(C1358,'CHAS - Cook Co'!$C$1:$J$2762,2,FALSE) - VLOOKUP(C1358,'CHAS - Chicago'!$C$1:$J$2762,2,FALSE)</f>
        <v>1070</v>
      </c>
      <c r="E1358" t="s">
        <v>373</v>
      </c>
      <c r="F1358" s="71" t="s">
        <v>367</v>
      </c>
      <c r="G1358" s="71" t="s">
        <v>376</v>
      </c>
      <c r="H1358" s="71" t="s">
        <v>1671</v>
      </c>
    </row>
    <row r="1359" spans="1:9" ht="29" x14ac:dyDescent="0.35">
      <c r="A1359">
        <v>9</v>
      </c>
      <c r="B1359">
        <v>13</v>
      </c>
      <c r="C1359" t="s">
        <v>1804</v>
      </c>
      <c r="D1359" s="64">
        <f>VLOOKUP(C1359,'CHAS - Cook Co'!$C$1:$J$2762,2,FALSE) - VLOOKUP(C1359,'CHAS - Chicago'!$C$1:$J$2762,2,FALSE)</f>
        <v>38975</v>
      </c>
      <c r="E1359" t="s">
        <v>366</v>
      </c>
      <c r="F1359" s="71" t="s">
        <v>367</v>
      </c>
      <c r="G1359" s="71" t="s">
        <v>378</v>
      </c>
      <c r="H1359" s="71" t="s">
        <v>1374</v>
      </c>
    </row>
    <row r="1360" spans="1:9" ht="29" x14ac:dyDescent="0.35">
      <c r="A1360">
        <v>9</v>
      </c>
      <c r="B1360">
        <v>14</v>
      </c>
      <c r="C1360" t="s">
        <v>1805</v>
      </c>
      <c r="D1360" s="64">
        <f>VLOOKUP(C1360,'CHAS - Cook Co'!$C$1:$J$2762,2,FALSE) - VLOOKUP(C1360,'CHAS - Chicago'!$C$1:$J$2762,2,FALSE)</f>
        <v>26505</v>
      </c>
      <c r="E1360" t="s">
        <v>373</v>
      </c>
      <c r="F1360" s="71" t="s">
        <v>367</v>
      </c>
      <c r="G1360" s="71" t="s">
        <v>378</v>
      </c>
      <c r="H1360" s="71" t="s">
        <v>1657</v>
      </c>
    </row>
    <row r="1361" spans="1:8" ht="29" x14ac:dyDescent="0.35">
      <c r="A1361">
        <v>9</v>
      </c>
      <c r="B1361">
        <v>15</v>
      </c>
      <c r="C1361" t="s">
        <v>1806</v>
      </c>
      <c r="D1361" s="64">
        <f>VLOOKUP(C1361,'CHAS - Cook Co'!$C$1:$J$2762,2,FALSE) - VLOOKUP(C1361,'CHAS - Chicago'!$C$1:$J$2762,2,FALSE)</f>
        <v>7325</v>
      </c>
      <c r="E1361" t="s">
        <v>373</v>
      </c>
      <c r="F1361" s="71" t="s">
        <v>367</v>
      </c>
      <c r="G1361" s="71" t="s">
        <v>378</v>
      </c>
      <c r="H1361" s="71" t="s">
        <v>1663</v>
      </c>
    </row>
    <row r="1362" spans="1:8" ht="29" x14ac:dyDescent="0.35">
      <c r="A1362">
        <v>9</v>
      </c>
      <c r="B1362">
        <v>16</v>
      </c>
      <c r="C1362" t="s">
        <v>1807</v>
      </c>
      <c r="D1362" s="64">
        <f>VLOOKUP(C1362,'CHAS - Cook Co'!$C$1:$J$2762,2,FALSE) - VLOOKUP(C1362,'CHAS - Chicago'!$C$1:$J$2762,2,FALSE)</f>
        <v>4675</v>
      </c>
      <c r="E1362" t="s">
        <v>373</v>
      </c>
      <c r="F1362" s="71" t="s">
        <v>367</v>
      </c>
      <c r="G1362" s="71" t="s">
        <v>378</v>
      </c>
      <c r="H1362" s="71" t="s">
        <v>1667</v>
      </c>
    </row>
    <row r="1363" spans="1:8" ht="29" x14ac:dyDescent="0.35">
      <c r="A1363">
        <v>9</v>
      </c>
      <c r="B1363">
        <v>17</v>
      </c>
      <c r="C1363" t="s">
        <v>1808</v>
      </c>
      <c r="D1363" s="64">
        <f>VLOOKUP(C1363,'CHAS - Cook Co'!$C$1:$J$2762,2,FALSE) - VLOOKUP(C1363,'CHAS - Chicago'!$C$1:$J$2762,2,FALSE)</f>
        <v>475</v>
      </c>
      <c r="E1363" t="s">
        <v>373</v>
      </c>
      <c r="F1363" s="71" t="s">
        <v>367</v>
      </c>
      <c r="G1363" s="71" t="s">
        <v>378</v>
      </c>
      <c r="H1363" s="71" t="s">
        <v>1671</v>
      </c>
    </row>
    <row r="1364" spans="1:8" ht="29" x14ac:dyDescent="0.35">
      <c r="A1364">
        <v>9</v>
      </c>
      <c r="B1364">
        <v>18</v>
      </c>
      <c r="C1364" t="s">
        <v>1809</v>
      </c>
      <c r="D1364" s="64">
        <f>VLOOKUP(C1364,'CHAS - Cook Co'!$C$1:$J$2762,2,FALSE) - VLOOKUP(C1364,'CHAS - Chicago'!$C$1:$J$2762,2,FALSE)</f>
        <v>590</v>
      </c>
      <c r="E1364" t="s">
        <v>366</v>
      </c>
      <c r="F1364" s="71" t="s">
        <v>367</v>
      </c>
      <c r="G1364" s="71" t="s">
        <v>380</v>
      </c>
      <c r="H1364" s="71" t="s">
        <v>1374</v>
      </c>
    </row>
    <row r="1365" spans="1:8" ht="29" x14ac:dyDescent="0.35">
      <c r="A1365">
        <v>9</v>
      </c>
      <c r="B1365">
        <v>19</v>
      </c>
      <c r="C1365" t="s">
        <v>1810</v>
      </c>
      <c r="D1365" s="64">
        <f>VLOOKUP(C1365,'CHAS - Cook Co'!$C$1:$J$2762,2,FALSE) - VLOOKUP(C1365,'CHAS - Chicago'!$C$1:$J$2762,2,FALSE)</f>
        <v>385</v>
      </c>
      <c r="E1365" t="s">
        <v>373</v>
      </c>
      <c r="F1365" s="71" t="s">
        <v>367</v>
      </c>
      <c r="G1365" s="71" t="s">
        <v>380</v>
      </c>
      <c r="H1365" s="71" t="s">
        <v>1657</v>
      </c>
    </row>
    <row r="1366" spans="1:8" ht="29" x14ac:dyDescent="0.35">
      <c r="A1366">
        <v>9</v>
      </c>
      <c r="B1366">
        <v>20</v>
      </c>
      <c r="C1366" t="s">
        <v>1811</v>
      </c>
      <c r="D1366" s="64">
        <f>VLOOKUP(C1366,'CHAS - Cook Co'!$C$1:$J$2762,2,FALSE) - VLOOKUP(C1366,'CHAS - Chicago'!$C$1:$J$2762,2,FALSE)</f>
        <v>145</v>
      </c>
      <c r="E1366" t="s">
        <v>373</v>
      </c>
      <c r="F1366" s="71" t="s">
        <v>367</v>
      </c>
      <c r="G1366" s="71" t="s">
        <v>380</v>
      </c>
      <c r="H1366" s="71" t="s">
        <v>1663</v>
      </c>
    </row>
    <row r="1367" spans="1:8" ht="29" x14ac:dyDescent="0.35">
      <c r="A1367">
        <v>9</v>
      </c>
      <c r="B1367">
        <v>21</v>
      </c>
      <c r="C1367" t="s">
        <v>1812</v>
      </c>
      <c r="D1367" s="64">
        <f>VLOOKUP(C1367,'CHAS - Cook Co'!$C$1:$J$2762,2,FALSE) - VLOOKUP(C1367,'CHAS - Chicago'!$C$1:$J$2762,2,FALSE)</f>
        <v>65</v>
      </c>
      <c r="E1367" t="s">
        <v>373</v>
      </c>
      <c r="F1367" s="71" t="s">
        <v>367</v>
      </c>
      <c r="G1367" s="71" t="s">
        <v>380</v>
      </c>
      <c r="H1367" s="71" t="s">
        <v>1667</v>
      </c>
    </row>
    <row r="1368" spans="1:8" ht="29" x14ac:dyDescent="0.35">
      <c r="A1368">
        <v>9</v>
      </c>
      <c r="B1368">
        <v>22</v>
      </c>
      <c r="C1368" t="s">
        <v>1813</v>
      </c>
      <c r="D1368" s="64">
        <f>VLOOKUP(C1368,'CHAS - Cook Co'!$C$1:$J$2762,2,FALSE) - VLOOKUP(C1368,'CHAS - Chicago'!$C$1:$J$2762,2,FALSE)</f>
        <v>0</v>
      </c>
      <c r="E1368" t="s">
        <v>373</v>
      </c>
      <c r="F1368" s="71" t="s">
        <v>367</v>
      </c>
      <c r="G1368" s="71" t="s">
        <v>380</v>
      </c>
      <c r="H1368" s="71" t="s">
        <v>1671</v>
      </c>
    </row>
    <row r="1369" spans="1:8" ht="29" x14ac:dyDescent="0.35">
      <c r="A1369">
        <v>9</v>
      </c>
      <c r="B1369">
        <v>23</v>
      </c>
      <c r="C1369" t="s">
        <v>1814</v>
      </c>
      <c r="D1369" s="64">
        <f>VLOOKUP(C1369,'CHAS - Cook Co'!$C$1:$J$2762,2,FALSE) - VLOOKUP(C1369,'CHAS - Chicago'!$C$1:$J$2762,2,FALSE)</f>
        <v>95</v>
      </c>
      <c r="E1369" t="s">
        <v>366</v>
      </c>
      <c r="F1369" s="71" t="s">
        <v>367</v>
      </c>
      <c r="G1369" s="71" t="s">
        <v>382</v>
      </c>
      <c r="H1369" s="71" t="s">
        <v>1374</v>
      </c>
    </row>
    <row r="1370" spans="1:8" ht="29" x14ac:dyDescent="0.35">
      <c r="A1370">
        <v>9</v>
      </c>
      <c r="B1370">
        <v>24</v>
      </c>
      <c r="C1370" t="s">
        <v>1815</v>
      </c>
      <c r="D1370" s="64">
        <f>VLOOKUP(C1370,'CHAS - Cook Co'!$C$1:$J$2762,2,FALSE) - VLOOKUP(C1370,'CHAS - Chicago'!$C$1:$J$2762,2,FALSE)</f>
        <v>75</v>
      </c>
      <c r="E1370" t="s">
        <v>373</v>
      </c>
      <c r="F1370" s="71" t="s">
        <v>367</v>
      </c>
      <c r="G1370" s="71" t="s">
        <v>382</v>
      </c>
      <c r="H1370" s="71" t="s">
        <v>1657</v>
      </c>
    </row>
    <row r="1371" spans="1:8" ht="29" x14ac:dyDescent="0.35">
      <c r="A1371">
        <v>9</v>
      </c>
      <c r="B1371">
        <v>25</v>
      </c>
      <c r="C1371" t="s">
        <v>1816</v>
      </c>
      <c r="D1371" s="64">
        <f>VLOOKUP(C1371,'CHAS - Cook Co'!$C$1:$J$2762,2,FALSE) - VLOOKUP(C1371,'CHAS - Chicago'!$C$1:$J$2762,2,FALSE)</f>
        <v>20</v>
      </c>
      <c r="E1371" t="s">
        <v>373</v>
      </c>
      <c r="F1371" s="71" t="s">
        <v>367</v>
      </c>
      <c r="G1371" s="71" t="s">
        <v>382</v>
      </c>
      <c r="H1371" s="71" t="s">
        <v>1663</v>
      </c>
    </row>
    <row r="1372" spans="1:8" ht="29" x14ac:dyDescent="0.35">
      <c r="A1372">
        <v>9</v>
      </c>
      <c r="B1372">
        <v>26</v>
      </c>
      <c r="C1372" t="s">
        <v>1817</v>
      </c>
      <c r="D1372" s="64">
        <f>VLOOKUP(C1372,'CHAS - Cook Co'!$C$1:$J$2762,2,FALSE) - VLOOKUP(C1372,'CHAS - Chicago'!$C$1:$J$2762,2,FALSE)</f>
        <v>0</v>
      </c>
      <c r="E1372" t="s">
        <v>373</v>
      </c>
      <c r="F1372" s="71" t="s">
        <v>367</v>
      </c>
      <c r="G1372" s="71" t="s">
        <v>382</v>
      </c>
      <c r="H1372" s="71" t="s">
        <v>1667</v>
      </c>
    </row>
    <row r="1373" spans="1:8" ht="29" x14ac:dyDescent="0.35">
      <c r="A1373">
        <v>9</v>
      </c>
      <c r="B1373">
        <v>27</v>
      </c>
      <c r="C1373" t="s">
        <v>1818</v>
      </c>
      <c r="D1373" s="64">
        <f>VLOOKUP(C1373,'CHAS - Cook Co'!$C$1:$J$2762,2,FALSE) - VLOOKUP(C1373,'CHAS - Chicago'!$C$1:$J$2762,2,FALSE)</f>
        <v>0</v>
      </c>
      <c r="E1373" t="s">
        <v>373</v>
      </c>
      <c r="F1373" s="71" t="s">
        <v>367</v>
      </c>
      <c r="G1373" s="71" t="s">
        <v>382</v>
      </c>
      <c r="H1373" s="71" t="s">
        <v>1671</v>
      </c>
    </row>
    <row r="1374" spans="1:8" x14ac:dyDescent="0.35">
      <c r="A1374">
        <v>9</v>
      </c>
      <c r="B1374">
        <v>28</v>
      </c>
      <c r="C1374" t="s">
        <v>1819</v>
      </c>
      <c r="D1374" s="64">
        <f>VLOOKUP(C1374,'CHAS - Cook Co'!$C$1:$J$2762,2,FALSE) - VLOOKUP(C1374,'CHAS - Chicago'!$C$1:$J$2762,2,FALSE)</f>
        <v>72125</v>
      </c>
      <c r="E1374" t="s">
        <v>366</v>
      </c>
      <c r="F1374" s="71" t="s">
        <v>367</v>
      </c>
      <c r="G1374" s="71" t="s">
        <v>384</v>
      </c>
      <c r="H1374" s="71" t="s">
        <v>1374</v>
      </c>
    </row>
    <row r="1375" spans="1:8" ht="29" x14ac:dyDescent="0.35">
      <c r="A1375">
        <v>9</v>
      </c>
      <c r="B1375">
        <v>29</v>
      </c>
      <c r="C1375" t="s">
        <v>1820</v>
      </c>
      <c r="D1375" s="64">
        <f>VLOOKUP(C1375,'CHAS - Cook Co'!$C$1:$J$2762,2,FALSE) - VLOOKUP(C1375,'CHAS - Chicago'!$C$1:$J$2762,2,FALSE)</f>
        <v>45370</v>
      </c>
      <c r="E1375" t="s">
        <v>373</v>
      </c>
      <c r="F1375" s="71" t="s">
        <v>367</v>
      </c>
      <c r="G1375" s="71" t="s">
        <v>384</v>
      </c>
      <c r="H1375" s="71" t="s">
        <v>1657</v>
      </c>
    </row>
    <row r="1376" spans="1:8" ht="29" x14ac:dyDescent="0.35">
      <c r="A1376">
        <v>9</v>
      </c>
      <c r="B1376">
        <v>30</v>
      </c>
      <c r="C1376" t="s">
        <v>1821</v>
      </c>
      <c r="D1376" s="64">
        <f>VLOOKUP(C1376,'CHAS - Cook Co'!$C$1:$J$2762,2,FALSE) - VLOOKUP(C1376,'CHAS - Chicago'!$C$1:$J$2762,2,FALSE)</f>
        <v>15090</v>
      </c>
      <c r="E1376" t="s">
        <v>373</v>
      </c>
      <c r="F1376" s="71" t="s">
        <v>367</v>
      </c>
      <c r="G1376" s="71" t="s">
        <v>384</v>
      </c>
      <c r="H1376" s="71" t="s">
        <v>1663</v>
      </c>
    </row>
    <row r="1377" spans="1:8" x14ac:dyDescent="0.35">
      <c r="A1377">
        <v>9</v>
      </c>
      <c r="B1377">
        <v>31</v>
      </c>
      <c r="C1377" t="s">
        <v>1822</v>
      </c>
      <c r="D1377" s="64">
        <f>VLOOKUP(C1377,'CHAS - Cook Co'!$C$1:$J$2762,2,FALSE) - VLOOKUP(C1377,'CHAS - Chicago'!$C$1:$J$2762,2,FALSE)</f>
        <v>11185</v>
      </c>
      <c r="E1377" t="s">
        <v>373</v>
      </c>
      <c r="F1377" s="71" t="s">
        <v>367</v>
      </c>
      <c r="G1377" s="71" t="s">
        <v>384</v>
      </c>
      <c r="H1377" s="71" t="s">
        <v>1667</v>
      </c>
    </row>
    <row r="1378" spans="1:8" ht="29" x14ac:dyDescent="0.35">
      <c r="A1378">
        <v>9</v>
      </c>
      <c r="B1378">
        <v>32</v>
      </c>
      <c r="C1378" t="s">
        <v>1823</v>
      </c>
      <c r="D1378" s="64">
        <f>VLOOKUP(C1378,'CHAS - Cook Co'!$C$1:$J$2762,2,FALSE) - VLOOKUP(C1378,'CHAS - Chicago'!$C$1:$J$2762,2,FALSE)</f>
        <v>480</v>
      </c>
      <c r="E1378" t="s">
        <v>373</v>
      </c>
      <c r="F1378" s="71" t="s">
        <v>367</v>
      </c>
      <c r="G1378" s="71" t="s">
        <v>384</v>
      </c>
      <c r="H1378" s="71" t="s">
        <v>1671</v>
      </c>
    </row>
    <row r="1379" spans="1:8" ht="29" x14ac:dyDescent="0.35">
      <c r="A1379">
        <v>9</v>
      </c>
      <c r="B1379">
        <v>33</v>
      </c>
      <c r="C1379" t="s">
        <v>1824</v>
      </c>
      <c r="D1379" s="64">
        <f>VLOOKUP(C1379,'CHAS - Cook Co'!$C$1:$J$2762,2,FALSE) - VLOOKUP(C1379,'CHAS - Chicago'!$C$1:$J$2762,2,FALSE)</f>
        <v>5430</v>
      </c>
      <c r="E1379" t="s">
        <v>366</v>
      </c>
      <c r="F1379" s="71" t="s">
        <v>367</v>
      </c>
      <c r="G1379" s="71" t="s">
        <v>386</v>
      </c>
      <c r="H1379" s="71" t="s">
        <v>1374</v>
      </c>
    </row>
    <row r="1380" spans="1:8" ht="29" x14ac:dyDescent="0.35">
      <c r="A1380">
        <v>9</v>
      </c>
      <c r="B1380">
        <v>34</v>
      </c>
      <c r="C1380" t="s">
        <v>1825</v>
      </c>
      <c r="D1380" s="64">
        <f>VLOOKUP(C1380,'CHAS - Cook Co'!$C$1:$J$2762,2,FALSE) - VLOOKUP(C1380,'CHAS - Chicago'!$C$1:$J$2762,2,FALSE)</f>
        <v>3765</v>
      </c>
      <c r="E1380" t="s">
        <v>373</v>
      </c>
      <c r="F1380" s="71" t="s">
        <v>367</v>
      </c>
      <c r="G1380" s="71" t="s">
        <v>386</v>
      </c>
      <c r="H1380" s="71" t="s">
        <v>1657</v>
      </c>
    </row>
    <row r="1381" spans="1:8" ht="29" x14ac:dyDescent="0.35">
      <c r="A1381">
        <v>9</v>
      </c>
      <c r="B1381">
        <v>35</v>
      </c>
      <c r="C1381" t="s">
        <v>1826</v>
      </c>
      <c r="D1381" s="64">
        <f>VLOOKUP(C1381,'CHAS - Cook Co'!$C$1:$J$2762,2,FALSE) - VLOOKUP(C1381,'CHAS - Chicago'!$C$1:$J$2762,2,FALSE)</f>
        <v>950</v>
      </c>
      <c r="E1381" t="s">
        <v>373</v>
      </c>
      <c r="F1381" s="71" t="s">
        <v>367</v>
      </c>
      <c r="G1381" s="71" t="s">
        <v>386</v>
      </c>
      <c r="H1381" s="71" t="s">
        <v>1663</v>
      </c>
    </row>
    <row r="1382" spans="1:8" ht="29" x14ac:dyDescent="0.35">
      <c r="A1382">
        <v>9</v>
      </c>
      <c r="B1382">
        <v>36</v>
      </c>
      <c r="C1382" t="s">
        <v>1827</v>
      </c>
      <c r="D1382" s="64">
        <f>VLOOKUP(C1382,'CHAS - Cook Co'!$C$1:$J$2762,2,FALSE) - VLOOKUP(C1382,'CHAS - Chicago'!$C$1:$J$2762,2,FALSE)</f>
        <v>670</v>
      </c>
      <c r="E1382" t="s">
        <v>373</v>
      </c>
      <c r="F1382" s="71" t="s">
        <v>367</v>
      </c>
      <c r="G1382" s="71" t="s">
        <v>386</v>
      </c>
      <c r="H1382" s="71" t="s">
        <v>1667</v>
      </c>
    </row>
    <row r="1383" spans="1:8" ht="29" x14ac:dyDescent="0.35">
      <c r="A1383">
        <v>9</v>
      </c>
      <c r="B1383">
        <v>37</v>
      </c>
      <c r="C1383" t="s">
        <v>1828</v>
      </c>
      <c r="D1383" s="64">
        <f>VLOOKUP(C1383,'CHAS - Cook Co'!$C$1:$J$2762,2,FALSE) - VLOOKUP(C1383,'CHAS - Chicago'!$C$1:$J$2762,2,FALSE)</f>
        <v>40</v>
      </c>
      <c r="E1383" t="s">
        <v>373</v>
      </c>
      <c r="F1383" s="71" t="s">
        <v>367</v>
      </c>
      <c r="G1383" s="71" t="s">
        <v>386</v>
      </c>
      <c r="H1383" s="71" t="s">
        <v>1671</v>
      </c>
    </row>
    <row r="1384" spans="1:8" x14ac:dyDescent="0.35">
      <c r="A1384">
        <v>9</v>
      </c>
      <c r="B1384">
        <v>38</v>
      </c>
      <c r="C1384" t="s">
        <v>1829</v>
      </c>
      <c r="D1384" s="64">
        <f>VLOOKUP(C1384,'CHAS - Cook Co'!$C$1:$J$2762,2,FALSE) - VLOOKUP(C1384,'CHAS - Chicago'!$C$1:$J$2762,2,FALSE)</f>
        <v>263750</v>
      </c>
      <c r="E1384" t="s">
        <v>366</v>
      </c>
      <c r="F1384" s="71" t="s">
        <v>508</v>
      </c>
      <c r="G1384" s="71" t="s">
        <v>364</v>
      </c>
      <c r="H1384" s="71" t="s">
        <v>1374</v>
      </c>
    </row>
    <row r="1385" spans="1:8" ht="29" x14ac:dyDescent="0.35">
      <c r="A1385">
        <v>9</v>
      </c>
      <c r="B1385">
        <v>39</v>
      </c>
      <c r="C1385" t="s">
        <v>1830</v>
      </c>
      <c r="D1385" s="64">
        <f>VLOOKUP(C1385,'CHAS - Cook Co'!$C$1:$J$2762,2,FALSE) - VLOOKUP(C1385,'CHAS - Chicago'!$C$1:$J$2762,2,FALSE)</f>
        <v>113965</v>
      </c>
      <c r="E1385" t="s">
        <v>366</v>
      </c>
      <c r="F1385" s="71" t="s">
        <v>508</v>
      </c>
      <c r="G1385" s="71" t="s">
        <v>374</v>
      </c>
      <c r="H1385" s="71" t="s">
        <v>1374</v>
      </c>
    </row>
    <row r="1386" spans="1:8" ht="29" x14ac:dyDescent="0.35">
      <c r="A1386">
        <v>9</v>
      </c>
      <c r="B1386">
        <v>40</v>
      </c>
      <c r="C1386" t="s">
        <v>1831</v>
      </c>
      <c r="D1386" s="64">
        <f>VLOOKUP(C1386,'CHAS - Cook Co'!$C$1:$J$2762,2,FALSE) - VLOOKUP(C1386,'CHAS - Chicago'!$C$1:$J$2762,2,FALSE)</f>
        <v>61225</v>
      </c>
      <c r="E1386" t="s">
        <v>373</v>
      </c>
      <c r="F1386" s="71" t="s">
        <v>508</v>
      </c>
      <c r="G1386" s="71" t="s">
        <v>374</v>
      </c>
      <c r="H1386" s="71" t="s">
        <v>1657</v>
      </c>
    </row>
    <row r="1387" spans="1:8" ht="29" x14ac:dyDescent="0.35">
      <c r="A1387">
        <v>9</v>
      </c>
      <c r="B1387">
        <v>41</v>
      </c>
      <c r="C1387" t="s">
        <v>1832</v>
      </c>
      <c r="D1387" s="64">
        <f>VLOOKUP(C1387,'CHAS - Cook Co'!$C$1:$J$2762,2,FALSE) - VLOOKUP(C1387,'CHAS - Chicago'!$C$1:$J$2762,2,FALSE)</f>
        <v>23170</v>
      </c>
      <c r="E1387" t="s">
        <v>373</v>
      </c>
      <c r="F1387" s="71" t="s">
        <v>508</v>
      </c>
      <c r="G1387" s="71" t="s">
        <v>374</v>
      </c>
      <c r="H1387" s="71" t="s">
        <v>1663</v>
      </c>
    </row>
    <row r="1388" spans="1:8" ht="29" x14ac:dyDescent="0.35">
      <c r="A1388">
        <v>9</v>
      </c>
      <c r="B1388">
        <v>42</v>
      </c>
      <c r="C1388" t="s">
        <v>1833</v>
      </c>
      <c r="D1388" s="64">
        <f>VLOOKUP(C1388,'CHAS - Cook Co'!$C$1:$J$2762,2,FALSE) - VLOOKUP(C1388,'CHAS - Chicago'!$C$1:$J$2762,2,FALSE)</f>
        <v>26865</v>
      </c>
      <c r="E1388" t="s">
        <v>373</v>
      </c>
      <c r="F1388" s="71" t="s">
        <v>508</v>
      </c>
      <c r="G1388" s="71" t="s">
        <v>374</v>
      </c>
      <c r="H1388" s="71" t="s">
        <v>1667</v>
      </c>
    </row>
    <row r="1389" spans="1:8" ht="29" x14ac:dyDescent="0.35">
      <c r="A1389">
        <v>9</v>
      </c>
      <c r="B1389">
        <v>43</v>
      </c>
      <c r="C1389" t="s">
        <v>1834</v>
      </c>
      <c r="D1389" s="64">
        <f>VLOOKUP(C1389,'CHAS - Cook Co'!$C$1:$J$2762,2,FALSE) - VLOOKUP(C1389,'CHAS - Chicago'!$C$1:$J$2762,2,FALSE)</f>
        <v>2705</v>
      </c>
      <c r="E1389" t="s">
        <v>373</v>
      </c>
      <c r="F1389" s="71" t="s">
        <v>508</v>
      </c>
      <c r="G1389" s="71" t="s">
        <v>374</v>
      </c>
      <c r="H1389" s="71" t="s">
        <v>1671</v>
      </c>
    </row>
    <row r="1390" spans="1:8" ht="29" x14ac:dyDescent="0.35">
      <c r="A1390">
        <v>9</v>
      </c>
      <c r="B1390">
        <v>44</v>
      </c>
      <c r="C1390" t="s">
        <v>1835</v>
      </c>
      <c r="D1390" s="64">
        <f>VLOOKUP(C1390,'CHAS - Cook Co'!$C$1:$J$2762,2,FALSE) - VLOOKUP(C1390,'CHAS - Chicago'!$C$1:$J$2762,2,FALSE)</f>
        <v>70240</v>
      </c>
      <c r="E1390" t="s">
        <v>366</v>
      </c>
      <c r="F1390" s="71" t="s">
        <v>508</v>
      </c>
      <c r="G1390" s="71" t="s">
        <v>376</v>
      </c>
      <c r="H1390" s="71" t="s">
        <v>1374</v>
      </c>
    </row>
    <row r="1391" spans="1:8" ht="29" x14ac:dyDescent="0.35">
      <c r="A1391">
        <v>9</v>
      </c>
      <c r="B1391">
        <v>45</v>
      </c>
      <c r="C1391" t="s">
        <v>1836</v>
      </c>
      <c r="D1391" s="64">
        <f>VLOOKUP(C1391,'CHAS - Cook Co'!$C$1:$J$2762,2,FALSE) - VLOOKUP(C1391,'CHAS - Chicago'!$C$1:$J$2762,2,FALSE)</f>
        <v>29625</v>
      </c>
      <c r="E1391" t="s">
        <v>373</v>
      </c>
      <c r="F1391" s="71" t="s">
        <v>508</v>
      </c>
      <c r="G1391" s="71" t="s">
        <v>376</v>
      </c>
      <c r="H1391" s="71" t="s">
        <v>1657</v>
      </c>
    </row>
    <row r="1392" spans="1:8" ht="29" x14ac:dyDescent="0.35">
      <c r="A1392">
        <v>9</v>
      </c>
      <c r="B1392">
        <v>46</v>
      </c>
      <c r="C1392" t="s">
        <v>1837</v>
      </c>
      <c r="D1392" s="64">
        <f>VLOOKUP(C1392,'CHAS - Cook Co'!$C$1:$J$2762,2,FALSE) - VLOOKUP(C1392,'CHAS - Chicago'!$C$1:$J$2762,2,FALSE)</f>
        <v>13925</v>
      </c>
      <c r="E1392" t="s">
        <v>373</v>
      </c>
      <c r="F1392" s="71" t="s">
        <v>508</v>
      </c>
      <c r="G1392" s="71" t="s">
        <v>376</v>
      </c>
      <c r="H1392" s="71" t="s">
        <v>1663</v>
      </c>
    </row>
    <row r="1393" spans="1:8" ht="29" x14ac:dyDescent="0.35">
      <c r="A1393">
        <v>9</v>
      </c>
      <c r="B1393">
        <v>47</v>
      </c>
      <c r="C1393" t="s">
        <v>1838</v>
      </c>
      <c r="D1393" s="64">
        <f>VLOOKUP(C1393,'CHAS - Cook Co'!$C$1:$J$2762,2,FALSE) - VLOOKUP(C1393,'CHAS - Chicago'!$C$1:$J$2762,2,FALSE)</f>
        <v>22030</v>
      </c>
      <c r="E1393" t="s">
        <v>373</v>
      </c>
      <c r="F1393" s="71" t="s">
        <v>508</v>
      </c>
      <c r="G1393" s="71" t="s">
        <v>376</v>
      </c>
      <c r="H1393" s="71" t="s">
        <v>1667</v>
      </c>
    </row>
    <row r="1394" spans="1:8" ht="29" x14ac:dyDescent="0.35">
      <c r="A1394">
        <v>9</v>
      </c>
      <c r="B1394">
        <v>48</v>
      </c>
      <c r="C1394" t="s">
        <v>1839</v>
      </c>
      <c r="D1394" s="64">
        <f>VLOOKUP(C1394,'CHAS - Cook Co'!$C$1:$J$2762,2,FALSE) - VLOOKUP(C1394,'CHAS - Chicago'!$C$1:$J$2762,2,FALSE)</f>
        <v>4665</v>
      </c>
      <c r="E1394" t="s">
        <v>373</v>
      </c>
      <c r="F1394" s="71" t="s">
        <v>508</v>
      </c>
      <c r="G1394" s="71" t="s">
        <v>376</v>
      </c>
      <c r="H1394" s="71" t="s">
        <v>1671</v>
      </c>
    </row>
    <row r="1395" spans="1:8" ht="29" x14ac:dyDescent="0.35">
      <c r="A1395">
        <v>9</v>
      </c>
      <c r="B1395">
        <v>49</v>
      </c>
      <c r="C1395" t="s">
        <v>1840</v>
      </c>
      <c r="D1395" s="64">
        <f>VLOOKUP(C1395,'CHAS - Cook Co'!$C$1:$J$2762,2,FALSE) - VLOOKUP(C1395,'CHAS - Chicago'!$C$1:$J$2762,2,FALSE)</f>
        <v>21220</v>
      </c>
      <c r="E1395" t="s">
        <v>366</v>
      </c>
      <c r="F1395" s="71" t="s">
        <v>508</v>
      </c>
      <c r="G1395" s="71" t="s">
        <v>378</v>
      </c>
      <c r="H1395" s="71" t="s">
        <v>1374</v>
      </c>
    </row>
    <row r="1396" spans="1:8" ht="29" x14ac:dyDescent="0.35">
      <c r="A1396">
        <v>9</v>
      </c>
      <c r="B1396">
        <v>50</v>
      </c>
      <c r="C1396" t="s">
        <v>1841</v>
      </c>
      <c r="D1396" s="64">
        <f>VLOOKUP(C1396,'CHAS - Cook Co'!$C$1:$J$2762,2,FALSE) - VLOOKUP(C1396,'CHAS - Chicago'!$C$1:$J$2762,2,FALSE)</f>
        <v>13505</v>
      </c>
      <c r="E1396" t="s">
        <v>373</v>
      </c>
      <c r="F1396" s="71" t="s">
        <v>508</v>
      </c>
      <c r="G1396" s="71" t="s">
        <v>378</v>
      </c>
      <c r="H1396" s="71" t="s">
        <v>1657</v>
      </c>
    </row>
    <row r="1397" spans="1:8" ht="29" x14ac:dyDescent="0.35">
      <c r="A1397">
        <v>9</v>
      </c>
      <c r="B1397">
        <v>51</v>
      </c>
      <c r="C1397" t="s">
        <v>1842</v>
      </c>
      <c r="D1397" s="64">
        <f>VLOOKUP(C1397,'CHAS - Cook Co'!$C$1:$J$2762,2,FALSE) - VLOOKUP(C1397,'CHAS - Chicago'!$C$1:$J$2762,2,FALSE)</f>
        <v>3410</v>
      </c>
      <c r="E1397" t="s">
        <v>373</v>
      </c>
      <c r="F1397" s="71" t="s">
        <v>508</v>
      </c>
      <c r="G1397" s="71" t="s">
        <v>378</v>
      </c>
      <c r="H1397" s="71" t="s">
        <v>1663</v>
      </c>
    </row>
    <row r="1398" spans="1:8" ht="29" x14ac:dyDescent="0.35">
      <c r="A1398">
        <v>9</v>
      </c>
      <c r="B1398">
        <v>52</v>
      </c>
      <c r="C1398" t="s">
        <v>1843</v>
      </c>
      <c r="D1398" s="64">
        <f>VLOOKUP(C1398,'CHAS - Cook Co'!$C$1:$J$2762,2,FALSE) - VLOOKUP(C1398,'CHAS - Chicago'!$C$1:$J$2762,2,FALSE)</f>
        <v>3755</v>
      </c>
      <c r="E1398" t="s">
        <v>373</v>
      </c>
      <c r="F1398" s="71" t="s">
        <v>508</v>
      </c>
      <c r="G1398" s="71" t="s">
        <v>378</v>
      </c>
      <c r="H1398" s="71" t="s">
        <v>1667</v>
      </c>
    </row>
    <row r="1399" spans="1:8" ht="29" x14ac:dyDescent="0.35">
      <c r="A1399">
        <v>9</v>
      </c>
      <c r="B1399">
        <v>53</v>
      </c>
      <c r="C1399" t="s">
        <v>1844</v>
      </c>
      <c r="D1399" s="64">
        <f>VLOOKUP(C1399,'CHAS - Cook Co'!$C$1:$J$2762,2,FALSE) - VLOOKUP(C1399,'CHAS - Chicago'!$C$1:$J$2762,2,FALSE)</f>
        <v>555</v>
      </c>
      <c r="E1399" t="s">
        <v>373</v>
      </c>
      <c r="F1399" s="71" t="s">
        <v>508</v>
      </c>
      <c r="G1399" s="71" t="s">
        <v>378</v>
      </c>
      <c r="H1399" s="71" t="s">
        <v>1671</v>
      </c>
    </row>
    <row r="1400" spans="1:8" ht="29" x14ac:dyDescent="0.35">
      <c r="A1400">
        <v>9</v>
      </c>
      <c r="B1400">
        <v>54</v>
      </c>
      <c r="C1400" t="s">
        <v>1845</v>
      </c>
      <c r="D1400" s="64">
        <f>VLOOKUP(C1400,'CHAS - Cook Co'!$C$1:$J$2762,2,FALSE) - VLOOKUP(C1400,'CHAS - Chicago'!$C$1:$J$2762,2,FALSE)</f>
        <v>350</v>
      </c>
      <c r="E1400" t="s">
        <v>366</v>
      </c>
      <c r="F1400" s="71" t="s">
        <v>508</v>
      </c>
      <c r="G1400" s="71" t="s">
        <v>380</v>
      </c>
      <c r="H1400" s="71" t="s">
        <v>1374</v>
      </c>
    </row>
    <row r="1401" spans="1:8" ht="29" x14ac:dyDescent="0.35">
      <c r="A1401">
        <v>9</v>
      </c>
      <c r="B1401">
        <v>55</v>
      </c>
      <c r="C1401" t="s">
        <v>1846</v>
      </c>
      <c r="D1401" s="64">
        <f>VLOOKUP(C1401,'CHAS - Cook Co'!$C$1:$J$2762,2,FALSE) - VLOOKUP(C1401,'CHAS - Chicago'!$C$1:$J$2762,2,FALSE)</f>
        <v>105</v>
      </c>
      <c r="E1401" t="s">
        <v>373</v>
      </c>
      <c r="F1401" s="71" t="s">
        <v>508</v>
      </c>
      <c r="G1401" s="71" t="s">
        <v>380</v>
      </c>
      <c r="H1401" s="71" t="s">
        <v>1657</v>
      </c>
    </row>
    <row r="1402" spans="1:8" ht="29" x14ac:dyDescent="0.35">
      <c r="A1402">
        <v>9</v>
      </c>
      <c r="B1402">
        <v>56</v>
      </c>
      <c r="C1402" t="s">
        <v>1847</v>
      </c>
      <c r="D1402" s="64">
        <f>VLOOKUP(C1402,'CHAS - Cook Co'!$C$1:$J$2762,2,FALSE) - VLOOKUP(C1402,'CHAS - Chicago'!$C$1:$J$2762,2,FALSE)</f>
        <v>125</v>
      </c>
      <c r="E1402" t="s">
        <v>373</v>
      </c>
      <c r="F1402" s="71" t="s">
        <v>508</v>
      </c>
      <c r="G1402" s="71" t="s">
        <v>380</v>
      </c>
      <c r="H1402" s="71" t="s">
        <v>1663</v>
      </c>
    </row>
    <row r="1403" spans="1:8" ht="29" x14ac:dyDescent="0.35">
      <c r="A1403">
        <v>9</v>
      </c>
      <c r="B1403">
        <v>57</v>
      </c>
      <c r="C1403" t="s">
        <v>1848</v>
      </c>
      <c r="D1403" s="64">
        <f>VLOOKUP(C1403,'CHAS - Cook Co'!$C$1:$J$2762,2,FALSE) - VLOOKUP(C1403,'CHAS - Chicago'!$C$1:$J$2762,2,FALSE)</f>
        <v>125</v>
      </c>
      <c r="E1403" t="s">
        <v>373</v>
      </c>
      <c r="F1403" s="71" t="s">
        <v>508</v>
      </c>
      <c r="G1403" s="71" t="s">
        <v>380</v>
      </c>
      <c r="H1403" s="71" t="s">
        <v>1667</v>
      </c>
    </row>
    <row r="1404" spans="1:8" ht="29" x14ac:dyDescent="0.35">
      <c r="A1404">
        <v>9</v>
      </c>
      <c r="B1404">
        <v>58</v>
      </c>
      <c r="C1404" t="s">
        <v>1849</v>
      </c>
      <c r="D1404" s="64">
        <f>VLOOKUP(C1404,'CHAS - Cook Co'!$C$1:$J$2762,2,FALSE) - VLOOKUP(C1404,'CHAS - Chicago'!$C$1:$J$2762,2,FALSE)</f>
        <v>0</v>
      </c>
      <c r="E1404" t="s">
        <v>373</v>
      </c>
      <c r="F1404" s="71" t="s">
        <v>508</v>
      </c>
      <c r="G1404" s="71" t="s">
        <v>380</v>
      </c>
      <c r="H1404" s="71" t="s">
        <v>1671</v>
      </c>
    </row>
    <row r="1405" spans="1:8" ht="29" x14ac:dyDescent="0.35">
      <c r="A1405">
        <v>9</v>
      </c>
      <c r="B1405">
        <v>59</v>
      </c>
      <c r="C1405" t="s">
        <v>1850</v>
      </c>
      <c r="D1405" s="64">
        <f>VLOOKUP(C1405,'CHAS - Cook Co'!$C$1:$J$2762,2,FALSE) - VLOOKUP(C1405,'CHAS - Chicago'!$C$1:$J$2762,2,FALSE)</f>
        <v>95</v>
      </c>
      <c r="E1405" t="s">
        <v>366</v>
      </c>
      <c r="F1405" s="71" t="s">
        <v>508</v>
      </c>
      <c r="G1405" s="71" t="s">
        <v>382</v>
      </c>
      <c r="H1405" s="71" t="s">
        <v>1374</v>
      </c>
    </row>
    <row r="1406" spans="1:8" ht="29" x14ac:dyDescent="0.35">
      <c r="A1406">
        <v>9</v>
      </c>
      <c r="B1406">
        <v>60</v>
      </c>
      <c r="C1406" t="s">
        <v>1851</v>
      </c>
      <c r="D1406" s="64">
        <f>VLOOKUP(C1406,'CHAS - Cook Co'!$C$1:$J$2762,2,FALSE) - VLOOKUP(C1406,'CHAS - Chicago'!$C$1:$J$2762,2,FALSE)</f>
        <v>50</v>
      </c>
      <c r="E1406" t="s">
        <v>373</v>
      </c>
      <c r="F1406" s="71" t="s">
        <v>508</v>
      </c>
      <c r="G1406" s="71" t="s">
        <v>382</v>
      </c>
      <c r="H1406" s="71" t="s">
        <v>1657</v>
      </c>
    </row>
    <row r="1407" spans="1:8" ht="29" x14ac:dyDescent="0.35">
      <c r="A1407">
        <v>9</v>
      </c>
      <c r="B1407">
        <v>61</v>
      </c>
      <c r="C1407" t="s">
        <v>1852</v>
      </c>
      <c r="D1407" s="64">
        <f>VLOOKUP(C1407,'CHAS - Cook Co'!$C$1:$J$2762,2,FALSE) - VLOOKUP(C1407,'CHAS - Chicago'!$C$1:$J$2762,2,FALSE)</f>
        <v>35</v>
      </c>
      <c r="E1407" t="s">
        <v>373</v>
      </c>
      <c r="F1407" s="71" t="s">
        <v>508</v>
      </c>
      <c r="G1407" s="71" t="s">
        <v>382</v>
      </c>
      <c r="H1407" s="71" t="s">
        <v>1663</v>
      </c>
    </row>
    <row r="1408" spans="1:8" ht="29" x14ac:dyDescent="0.35">
      <c r="A1408">
        <v>9</v>
      </c>
      <c r="B1408">
        <v>62</v>
      </c>
      <c r="C1408" t="s">
        <v>1853</v>
      </c>
      <c r="D1408" s="64">
        <f>VLOOKUP(C1408,'CHAS - Cook Co'!$C$1:$J$2762,2,FALSE) - VLOOKUP(C1408,'CHAS - Chicago'!$C$1:$J$2762,2,FALSE)</f>
        <v>10</v>
      </c>
      <c r="E1408" t="s">
        <v>373</v>
      </c>
      <c r="F1408" s="71" t="s">
        <v>508</v>
      </c>
      <c r="G1408" s="71" t="s">
        <v>382</v>
      </c>
      <c r="H1408" s="71" t="s">
        <v>1667</v>
      </c>
    </row>
    <row r="1409" spans="1:9" ht="29" x14ac:dyDescent="0.35">
      <c r="A1409">
        <v>9</v>
      </c>
      <c r="B1409">
        <v>63</v>
      </c>
      <c r="C1409" t="s">
        <v>1854</v>
      </c>
      <c r="D1409" s="64">
        <f>VLOOKUP(C1409,'CHAS - Cook Co'!$C$1:$J$2762,2,FALSE) - VLOOKUP(C1409,'CHAS - Chicago'!$C$1:$J$2762,2,FALSE)</f>
        <v>0</v>
      </c>
      <c r="E1409" t="s">
        <v>373</v>
      </c>
      <c r="F1409" s="71" t="s">
        <v>508</v>
      </c>
      <c r="G1409" s="71" t="s">
        <v>382</v>
      </c>
      <c r="H1409" s="71" t="s">
        <v>1671</v>
      </c>
    </row>
    <row r="1410" spans="1:9" x14ac:dyDescent="0.35">
      <c r="A1410">
        <v>9</v>
      </c>
      <c r="B1410">
        <v>64</v>
      </c>
      <c r="C1410" t="s">
        <v>1855</v>
      </c>
      <c r="D1410" s="64">
        <f>VLOOKUP(C1410,'CHAS - Cook Co'!$C$1:$J$2762,2,FALSE) - VLOOKUP(C1410,'CHAS - Chicago'!$C$1:$J$2762,2,FALSE)</f>
        <v>53675</v>
      </c>
      <c r="E1410" t="s">
        <v>366</v>
      </c>
      <c r="F1410" s="71" t="s">
        <v>508</v>
      </c>
      <c r="G1410" s="71" t="s">
        <v>384</v>
      </c>
      <c r="H1410" s="71" t="s">
        <v>1374</v>
      </c>
    </row>
    <row r="1411" spans="1:9" ht="29" x14ac:dyDescent="0.35">
      <c r="A1411">
        <v>9</v>
      </c>
      <c r="B1411">
        <v>65</v>
      </c>
      <c r="C1411" t="s">
        <v>1856</v>
      </c>
      <c r="D1411" s="64">
        <f>VLOOKUP(C1411,'CHAS - Cook Co'!$C$1:$J$2762,2,FALSE) - VLOOKUP(C1411,'CHAS - Chicago'!$C$1:$J$2762,2,FALSE)</f>
        <v>27190</v>
      </c>
      <c r="E1411" t="s">
        <v>373</v>
      </c>
      <c r="F1411" s="71" t="s">
        <v>508</v>
      </c>
      <c r="G1411" s="71" t="s">
        <v>384</v>
      </c>
      <c r="H1411" s="71" t="s">
        <v>1657</v>
      </c>
    </row>
    <row r="1412" spans="1:9" ht="29" x14ac:dyDescent="0.35">
      <c r="A1412">
        <v>9</v>
      </c>
      <c r="B1412">
        <v>66</v>
      </c>
      <c r="C1412" t="s">
        <v>1857</v>
      </c>
      <c r="D1412" s="64">
        <f>VLOOKUP(C1412,'CHAS - Cook Co'!$C$1:$J$2762,2,FALSE) - VLOOKUP(C1412,'CHAS - Chicago'!$C$1:$J$2762,2,FALSE)</f>
        <v>13645</v>
      </c>
      <c r="E1412" t="s">
        <v>373</v>
      </c>
      <c r="F1412" s="71" t="s">
        <v>508</v>
      </c>
      <c r="G1412" s="71" t="s">
        <v>384</v>
      </c>
      <c r="H1412" s="71" t="s">
        <v>1663</v>
      </c>
    </row>
    <row r="1413" spans="1:9" x14ac:dyDescent="0.35">
      <c r="A1413">
        <v>9</v>
      </c>
      <c r="B1413">
        <v>67</v>
      </c>
      <c r="C1413" t="s">
        <v>1858</v>
      </c>
      <c r="D1413" s="64">
        <f>VLOOKUP(C1413,'CHAS - Cook Co'!$C$1:$J$2762,2,FALSE) - VLOOKUP(C1413,'CHAS - Chicago'!$C$1:$J$2762,2,FALSE)</f>
        <v>11930</v>
      </c>
      <c r="E1413" t="s">
        <v>373</v>
      </c>
      <c r="F1413" s="71" t="s">
        <v>508</v>
      </c>
      <c r="G1413" s="71" t="s">
        <v>384</v>
      </c>
      <c r="H1413" s="71" t="s">
        <v>1667</v>
      </c>
    </row>
    <row r="1414" spans="1:9" ht="29" x14ac:dyDescent="0.35">
      <c r="A1414">
        <v>9</v>
      </c>
      <c r="B1414">
        <v>68</v>
      </c>
      <c r="C1414" t="s">
        <v>1859</v>
      </c>
      <c r="D1414" s="64">
        <f>VLOOKUP(C1414,'CHAS - Cook Co'!$C$1:$J$2762,2,FALSE) - VLOOKUP(C1414,'CHAS - Chicago'!$C$1:$J$2762,2,FALSE)</f>
        <v>910</v>
      </c>
      <c r="E1414" t="s">
        <v>373</v>
      </c>
      <c r="F1414" s="71" t="s">
        <v>508</v>
      </c>
      <c r="G1414" s="71" t="s">
        <v>384</v>
      </c>
      <c r="H1414" s="71" t="s">
        <v>1671</v>
      </c>
    </row>
    <row r="1415" spans="1:9" ht="29" x14ac:dyDescent="0.35">
      <c r="A1415">
        <v>9</v>
      </c>
      <c r="B1415">
        <v>69</v>
      </c>
      <c r="C1415" t="s">
        <v>1860</v>
      </c>
      <c r="D1415" s="64">
        <f>VLOOKUP(C1415,'CHAS - Cook Co'!$C$1:$J$2762,2,FALSE) - VLOOKUP(C1415,'CHAS - Chicago'!$C$1:$J$2762,2,FALSE)</f>
        <v>4205</v>
      </c>
      <c r="E1415" t="s">
        <v>366</v>
      </c>
      <c r="F1415" s="71" t="s">
        <v>508</v>
      </c>
      <c r="G1415" s="71" t="s">
        <v>386</v>
      </c>
      <c r="H1415" s="71" t="s">
        <v>1374</v>
      </c>
    </row>
    <row r="1416" spans="1:9" ht="29" x14ac:dyDescent="0.35">
      <c r="A1416">
        <v>9</v>
      </c>
      <c r="B1416">
        <v>70</v>
      </c>
      <c r="C1416" t="s">
        <v>1861</v>
      </c>
      <c r="D1416" s="64">
        <f>VLOOKUP(C1416,'CHAS - Cook Co'!$C$1:$J$2762,2,FALSE) - VLOOKUP(C1416,'CHAS - Chicago'!$C$1:$J$2762,2,FALSE)</f>
        <v>2070</v>
      </c>
      <c r="E1416" t="s">
        <v>373</v>
      </c>
      <c r="F1416" s="71" t="s">
        <v>508</v>
      </c>
      <c r="G1416" s="71" t="s">
        <v>386</v>
      </c>
      <c r="H1416" s="71" t="s">
        <v>1657</v>
      </c>
    </row>
    <row r="1417" spans="1:9" ht="29" x14ac:dyDescent="0.35">
      <c r="A1417">
        <v>9</v>
      </c>
      <c r="B1417">
        <v>71</v>
      </c>
      <c r="C1417" t="s">
        <v>1862</v>
      </c>
      <c r="D1417" s="64">
        <f>VLOOKUP(C1417,'CHAS - Cook Co'!$C$1:$J$2762,2,FALSE) - VLOOKUP(C1417,'CHAS - Chicago'!$C$1:$J$2762,2,FALSE)</f>
        <v>905</v>
      </c>
      <c r="E1417" t="s">
        <v>373</v>
      </c>
      <c r="F1417" s="71" t="s">
        <v>508</v>
      </c>
      <c r="G1417" s="71" t="s">
        <v>386</v>
      </c>
      <c r="H1417" s="71" t="s">
        <v>1663</v>
      </c>
    </row>
    <row r="1418" spans="1:9" ht="29" x14ac:dyDescent="0.35">
      <c r="A1418">
        <v>9</v>
      </c>
      <c r="B1418">
        <v>72</v>
      </c>
      <c r="C1418" t="s">
        <v>1863</v>
      </c>
      <c r="D1418" s="64">
        <f>VLOOKUP(C1418,'CHAS - Cook Co'!$C$1:$J$2762,2,FALSE) - VLOOKUP(C1418,'CHAS - Chicago'!$C$1:$J$2762,2,FALSE)</f>
        <v>1080</v>
      </c>
      <c r="E1418" t="s">
        <v>373</v>
      </c>
      <c r="F1418" s="71" t="s">
        <v>508</v>
      </c>
      <c r="G1418" s="71" t="s">
        <v>386</v>
      </c>
      <c r="H1418" s="71" t="s">
        <v>1667</v>
      </c>
    </row>
    <row r="1419" spans="1:9" ht="29" x14ac:dyDescent="0.35">
      <c r="A1419">
        <v>9</v>
      </c>
      <c r="B1419">
        <v>73</v>
      </c>
      <c r="C1419" t="s">
        <v>1864</v>
      </c>
      <c r="D1419" s="64">
        <f>VLOOKUP(C1419,'CHAS - Cook Co'!$C$1:$J$2762,2,FALSE) - VLOOKUP(C1419,'CHAS - Chicago'!$C$1:$J$2762,2,FALSE)</f>
        <v>145</v>
      </c>
      <c r="E1419" t="s">
        <v>373</v>
      </c>
      <c r="F1419" s="71" t="s">
        <v>508</v>
      </c>
      <c r="G1419" s="71" t="s">
        <v>386</v>
      </c>
      <c r="H1419" s="71" t="s">
        <v>1671</v>
      </c>
    </row>
    <row r="1420" spans="1:9" ht="29" x14ac:dyDescent="0.35">
      <c r="A1420">
        <v>10</v>
      </c>
      <c r="B1420">
        <v>1</v>
      </c>
      <c r="C1420" t="s">
        <v>1865</v>
      </c>
      <c r="D1420" s="64">
        <f>VLOOKUP(C1420,'CHAS - Cook Co'!$C$1:$J$2762,2,FALSE) - VLOOKUP(C1420,'CHAS - Chicago'!$C$1:$J$2762,2,FALSE)</f>
        <v>909025</v>
      </c>
      <c r="E1420" t="s">
        <v>26</v>
      </c>
      <c r="F1420" s="71" t="s">
        <v>361</v>
      </c>
      <c r="G1420" s="71" t="s">
        <v>1866</v>
      </c>
      <c r="H1420" s="71" t="s">
        <v>363</v>
      </c>
      <c r="I1420" s="71" t="s">
        <v>1867</v>
      </c>
    </row>
    <row r="1421" spans="1:9" x14ac:dyDescent="0.35">
      <c r="A1421">
        <v>10</v>
      </c>
      <c r="B1421">
        <v>2</v>
      </c>
      <c r="C1421" t="s">
        <v>1868</v>
      </c>
      <c r="D1421" s="64">
        <f>VLOOKUP(C1421,'CHAS - Cook Co'!$C$1:$J$2762,2,FALSE) - VLOOKUP(C1421,'CHAS - Chicago'!$C$1:$J$2762,2,FALSE)</f>
        <v>645280</v>
      </c>
      <c r="E1421" t="s">
        <v>366</v>
      </c>
      <c r="F1421" s="71" t="s">
        <v>367</v>
      </c>
      <c r="G1421" s="71" t="s">
        <v>1866</v>
      </c>
      <c r="H1421" s="71" t="s">
        <v>363</v>
      </c>
      <c r="I1421" s="71" t="s">
        <v>1867</v>
      </c>
    </row>
    <row r="1422" spans="1:9" ht="29" x14ac:dyDescent="0.35">
      <c r="A1422">
        <v>10</v>
      </c>
      <c r="B1422">
        <v>3</v>
      </c>
      <c r="C1422" t="s">
        <v>1869</v>
      </c>
      <c r="D1422" s="64">
        <f>VLOOKUP(C1422,'CHAS - Cook Co'!$C$1:$J$2762,2,FALSE) - VLOOKUP(C1422,'CHAS - Chicago'!$C$1:$J$2762,2,FALSE)</f>
        <v>633710</v>
      </c>
      <c r="E1422" t="s">
        <v>366</v>
      </c>
      <c r="F1422" s="71" t="s">
        <v>367</v>
      </c>
      <c r="G1422" s="71" t="s">
        <v>1870</v>
      </c>
      <c r="H1422" s="71" t="s">
        <v>363</v>
      </c>
      <c r="I1422" s="71" t="s">
        <v>1867</v>
      </c>
    </row>
    <row r="1423" spans="1:9" ht="29" x14ac:dyDescent="0.35">
      <c r="A1423">
        <v>10</v>
      </c>
      <c r="B1423">
        <v>4</v>
      </c>
      <c r="C1423" t="s">
        <v>1871</v>
      </c>
      <c r="D1423" s="64">
        <f>VLOOKUP(C1423,'CHAS - Cook Co'!$C$1:$J$2762,2,FALSE) - VLOOKUP(C1423,'CHAS - Chicago'!$C$1:$J$2762,2,FALSE)</f>
        <v>54110</v>
      </c>
      <c r="E1423" t="s">
        <v>366</v>
      </c>
      <c r="F1423" s="71" t="s">
        <v>367</v>
      </c>
      <c r="G1423" s="71" t="s">
        <v>1870</v>
      </c>
      <c r="H1423" s="71" t="s">
        <v>371</v>
      </c>
      <c r="I1423" s="71" t="s">
        <v>1867</v>
      </c>
    </row>
    <row r="1424" spans="1:9" ht="29" x14ac:dyDescent="0.35">
      <c r="A1424">
        <v>10</v>
      </c>
      <c r="B1424">
        <v>5</v>
      </c>
      <c r="C1424" t="s">
        <v>1872</v>
      </c>
      <c r="D1424" s="64">
        <f>VLOOKUP(C1424,'CHAS - Cook Co'!$C$1:$J$2762,2,FALSE) - VLOOKUP(C1424,'CHAS - Chicago'!$C$1:$J$2762,2,FALSE)</f>
        <v>20840</v>
      </c>
      <c r="E1424" t="s">
        <v>373</v>
      </c>
      <c r="F1424" s="71" t="s">
        <v>367</v>
      </c>
      <c r="G1424" s="71" t="s">
        <v>1870</v>
      </c>
      <c r="H1424" s="71" t="s">
        <v>371</v>
      </c>
      <c r="I1424" s="71" t="s">
        <v>1873</v>
      </c>
    </row>
    <row r="1425" spans="1:9" ht="43.5" x14ac:dyDescent="0.35">
      <c r="A1425">
        <v>10</v>
      </c>
      <c r="B1425">
        <v>6</v>
      </c>
      <c r="C1425" t="s">
        <v>1874</v>
      </c>
      <c r="D1425" s="64">
        <f>VLOOKUP(C1425,'CHAS - Cook Co'!$C$1:$J$2762,2,FALSE) - VLOOKUP(C1425,'CHAS - Chicago'!$C$1:$J$2762,2,FALSE)</f>
        <v>960</v>
      </c>
      <c r="E1425" t="s">
        <v>373</v>
      </c>
      <c r="F1425" s="71" t="s">
        <v>367</v>
      </c>
      <c r="G1425" s="71" t="s">
        <v>1870</v>
      </c>
      <c r="H1425" s="71" t="s">
        <v>371</v>
      </c>
      <c r="I1425" s="71" t="s">
        <v>1875</v>
      </c>
    </row>
    <row r="1426" spans="1:9" ht="29" x14ac:dyDescent="0.35">
      <c r="A1426">
        <v>10</v>
      </c>
      <c r="B1426">
        <v>7</v>
      </c>
      <c r="C1426" t="s">
        <v>1876</v>
      </c>
      <c r="D1426" s="64">
        <f>VLOOKUP(C1426,'CHAS - Cook Co'!$C$1:$J$2762,2,FALSE) - VLOOKUP(C1426,'CHAS - Chicago'!$C$1:$J$2762,2,FALSE)</f>
        <v>32310</v>
      </c>
      <c r="E1426" t="s">
        <v>373</v>
      </c>
      <c r="F1426" s="71" t="s">
        <v>367</v>
      </c>
      <c r="G1426" s="71" t="s">
        <v>1870</v>
      </c>
      <c r="H1426" s="71" t="s">
        <v>371</v>
      </c>
      <c r="I1426" s="71" t="s">
        <v>1877</v>
      </c>
    </row>
    <row r="1427" spans="1:9" ht="43.5" x14ac:dyDescent="0.35">
      <c r="A1427">
        <v>10</v>
      </c>
      <c r="B1427">
        <v>8</v>
      </c>
      <c r="C1427" t="s">
        <v>1878</v>
      </c>
      <c r="D1427" s="64">
        <f>VLOOKUP(C1427,'CHAS - Cook Co'!$C$1:$J$2762,2,FALSE) - VLOOKUP(C1427,'CHAS - Chicago'!$C$1:$J$2762,2,FALSE)</f>
        <v>64120</v>
      </c>
      <c r="E1427" t="s">
        <v>366</v>
      </c>
      <c r="F1427" s="71" t="s">
        <v>367</v>
      </c>
      <c r="G1427" s="71" t="s">
        <v>1870</v>
      </c>
      <c r="H1427" s="71" t="s">
        <v>388</v>
      </c>
      <c r="I1427" s="71" t="s">
        <v>1867</v>
      </c>
    </row>
    <row r="1428" spans="1:9" ht="43.5" x14ac:dyDescent="0.35">
      <c r="A1428">
        <v>10</v>
      </c>
      <c r="B1428">
        <v>9</v>
      </c>
      <c r="C1428" t="s">
        <v>1879</v>
      </c>
      <c r="D1428" s="64">
        <f>VLOOKUP(C1428,'CHAS - Cook Co'!$C$1:$J$2762,2,FALSE) - VLOOKUP(C1428,'CHAS - Chicago'!$C$1:$J$2762,2,FALSE)</f>
        <v>32870</v>
      </c>
      <c r="E1428" t="s">
        <v>373</v>
      </c>
      <c r="F1428" s="71" t="s">
        <v>367</v>
      </c>
      <c r="G1428" s="71" t="s">
        <v>1870</v>
      </c>
      <c r="H1428" s="71" t="s">
        <v>388</v>
      </c>
      <c r="I1428" s="71" t="s">
        <v>1873</v>
      </c>
    </row>
    <row r="1429" spans="1:9" ht="43.5" x14ac:dyDescent="0.35">
      <c r="A1429">
        <v>10</v>
      </c>
      <c r="B1429">
        <v>10</v>
      </c>
      <c r="C1429" t="s">
        <v>1880</v>
      </c>
      <c r="D1429" s="64">
        <f>VLOOKUP(C1429,'CHAS - Cook Co'!$C$1:$J$2762,2,FALSE) - VLOOKUP(C1429,'CHAS - Chicago'!$C$1:$J$2762,2,FALSE)</f>
        <v>1680</v>
      </c>
      <c r="E1429" t="s">
        <v>373</v>
      </c>
      <c r="F1429" s="71" t="s">
        <v>367</v>
      </c>
      <c r="G1429" s="71" t="s">
        <v>1870</v>
      </c>
      <c r="H1429" s="71" t="s">
        <v>388</v>
      </c>
      <c r="I1429" s="71" t="s">
        <v>1875</v>
      </c>
    </row>
    <row r="1430" spans="1:9" ht="43.5" x14ac:dyDescent="0.35">
      <c r="A1430">
        <v>10</v>
      </c>
      <c r="B1430">
        <v>11</v>
      </c>
      <c r="C1430" t="s">
        <v>1881</v>
      </c>
      <c r="D1430" s="64">
        <f>VLOOKUP(C1430,'CHAS - Cook Co'!$C$1:$J$2762,2,FALSE) - VLOOKUP(C1430,'CHAS - Chicago'!$C$1:$J$2762,2,FALSE)</f>
        <v>29560</v>
      </c>
      <c r="E1430" t="s">
        <v>373</v>
      </c>
      <c r="F1430" s="71" t="s">
        <v>367</v>
      </c>
      <c r="G1430" s="71" t="s">
        <v>1870</v>
      </c>
      <c r="H1430" s="71" t="s">
        <v>388</v>
      </c>
      <c r="I1430" s="71" t="s">
        <v>1877</v>
      </c>
    </row>
    <row r="1431" spans="1:9" ht="43.5" x14ac:dyDescent="0.35">
      <c r="A1431">
        <v>10</v>
      </c>
      <c r="B1431">
        <v>12</v>
      </c>
      <c r="C1431" t="s">
        <v>1882</v>
      </c>
      <c r="D1431" s="64">
        <f>VLOOKUP(C1431,'CHAS - Cook Co'!$C$1:$J$2762,2,FALSE) - VLOOKUP(C1431,'CHAS - Chicago'!$C$1:$J$2762,2,FALSE)</f>
        <v>100035</v>
      </c>
      <c r="E1431" t="s">
        <v>366</v>
      </c>
      <c r="F1431" s="71" t="s">
        <v>367</v>
      </c>
      <c r="G1431" s="71" t="s">
        <v>1870</v>
      </c>
      <c r="H1431" s="71" t="s">
        <v>397</v>
      </c>
      <c r="I1431" s="71" t="s">
        <v>1867</v>
      </c>
    </row>
    <row r="1432" spans="1:9" ht="43.5" x14ac:dyDescent="0.35">
      <c r="A1432">
        <v>10</v>
      </c>
      <c r="B1432">
        <v>13</v>
      </c>
      <c r="C1432" t="s">
        <v>1883</v>
      </c>
      <c r="D1432" s="64">
        <f>VLOOKUP(C1432,'CHAS - Cook Co'!$C$1:$J$2762,2,FALSE) - VLOOKUP(C1432,'CHAS - Chicago'!$C$1:$J$2762,2,FALSE)</f>
        <v>62680</v>
      </c>
      <c r="E1432" t="s">
        <v>373</v>
      </c>
      <c r="F1432" s="71" t="s">
        <v>367</v>
      </c>
      <c r="G1432" s="71" t="s">
        <v>1870</v>
      </c>
      <c r="H1432" s="71" t="s">
        <v>397</v>
      </c>
      <c r="I1432" s="71" t="s">
        <v>1873</v>
      </c>
    </row>
    <row r="1433" spans="1:9" ht="43.5" x14ac:dyDescent="0.35">
      <c r="A1433">
        <v>10</v>
      </c>
      <c r="B1433">
        <v>14</v>
      </c>
      <c r="C1433" t="s">
        <v>1884</v>
      </c>
      <c r="D1433" s="64">
        <f>VLOOKUP(C1433,'CHAS - Cook Co'!$C$1:$J$2762,2,FALSE) - VLOOKUP(C1433,'CHAS - Chicago'!$C$1:$J$2762,2,FALSE)</f>
        <v>3855</v>
      </c>
      <c r="E1433" t="s">
        <v>373</v>
      </c>
      <c r="F1433" s="71" t="s">
        <v>367</v>
      </c>
      <c r="G1433" s="71" t="s">
        <v>1870</v>
      </c>
      <c r="H1433" s="71" t="s">
        <v>397</v>
      </c>
      <c r="I1433" s="71" t="s">
        <v>1875</v>
      </c>
    </row>
    <row r="1434" spans="1:9" ht="43.5" x14ac:dyDescent="0.35">
      <c r="A1434">
        <v>10</v>
      </c>
      <c r="B1434">
        <v>15</v>
      </c>
      <c r="C1434" t="s">
        <v>1885</v>
      </c>
      <c r="D1434" s="64">
        <f>VLOOKUP(C1434,'CHAS - Cook Co'!$C$1:$J$2762,2,FALSE) - VLOOKUP(C1434,'CHAS - Chicago'!$C$1:$J$2762,2,FALSE)</f>
        <v>33500</v>
      </c>
      <c r="E1434" t="s">
        <v>373</v>
      </c>
      <c r="F1434" s="71" t="s">
        <v>367</v>
      </c>
      <c r="G1434" s="71" t="s">
        <v>1870</v>
      </c>
      <c r="H1434" s="71" t="s">
        <v>397</v>
      </c>
      <c r="I1434" s="71" t="s">
        <v>1877</v>
      </c>
    </row>
    <row r="1435" spans="1:9" ht="43.5" x14ac:dyDescent="0.35">
      <c r="A1435">
        <v>10</v>
      </c>
      <c r="B1435">
        <v>16</v>
      </c>
      <c r="C1435" t="s">
        <v>1886</v>
      </c>
      <c r="D1435" s="64">
        <f>VLOOKUP(C1435,'CHAS - Cook Co'!$C$1:$J$2762,2,FALSE) - VLOOKUP(C1435,'CHAS - Chicago'!$C$1:$J$2762,2,FALSE)</f>
        <v>67500</v>
      </c>
      <c r="E1435" t="s">
        <v>366</v>
      </c>
      <c r="F1435" s="71" t="s">
        <v>367</v>
      </c>
      <c r="G1435" s="71" t="s">
        <v>1870</v>
      </c>
      <c r="H1435" s="71" t="s">
        <v>406</v>
      </c>
      <c r="I1435" s="71" t="s">
        <v>1867</v>
      </c>
    </row>
    <row r="1436" spans="1:9" ht="43.5" x14ac:dyDescent="0.35">
      <c r="A1436">
        <v>10</v>
      </c>
      <c r="B1436">
        <v>17</v>
      </c>
      <c r="C1436" t="s">
        <v>1887</v>
      </c>
      <c r="D1436" s="64">
        <f>VLOOKUP(C1436,'CHAS - Cook Co'!$C$1:$J$2762,2,FALSE) - VLOOKUP(C1436,'CHAS - Chicago'!$C$1:$J$2762,2,FALSE)</f>
        <v>46560</v>
      </c>
      <c r="E1436" t="s">
        <v>373</v>
      </c>
      <c r="F1436" s="71" t="s">
        <v>367</v>
      </c>
      <c r="G1436" s="71" t="s">
        <v>1870</v>
      </c>
      <c r="H1436" s="71" t="s">
        <v>406</v>
      </c>
      <c r="I1436" s="71" t="s">
        <v>1873</v>
      </c>
    </row>
    <row r="1437" spans="1:9" ht="43.5" x14ac:dyDescent="0.35">
      <c r="A1437">
        <v>10</v>
      </c>
      <c r="B1437">
        <v>18</v>
      </c>
      <c r="C1437" t="s">
        <v>1888</v>
      </c>
      <c r="D1437" s="64">
        <f>VLOOKUP(C1437,'CHAS - Cook Co'!$C$1:$J$2762,2,FALSE) - VLOOKUP(C1437,'CHAS - Chicago'!$C$1:$J$2762,2,FALSE)</f>
        <v>2785</v>
      </c>
      <c r="E1437" t="s">
        <v>373</v>
      </c>
      <c r="F1437" s="71" t="s">
        <v>367</v>
      </c>
      <c r="G1437" s="71" t="s">
        <v>1870</v>
      </c>
      <c r="H1437" s="71" t="s">
        <v>406</v>
      </c>
      <c r="I1437" s="71" t="s">
        <v>1875</v>
      </c>
    </row>
    <row r="1438" spans="1:9" ht="43.5" x14ac:dyDescent="0.35">
      <c r="A1438">
        <v>10</v>
      </c>
      <c r="B1438">
        <v>19</v>
      </c>
      <c r="C1438" t="s">
        <v>1889</v>
      </c>
      <c r="D1438" s="64">
        <f>VLOOKUP(C1438,'CHAS - Cook Co'!$C$1:$J$2762,2,FALSE) - VLOOKUP(C1438,'CHAS - Chicago'!$C$1:$J$2762,2,FALSE)</f>
        <v>18150</v>
      </c>
      <c r="E1438" t="s">
        <v>373</v>
      </c>
      <c r="F1438" s="71" t="s">
        <v>367</v>
      </c>
      <c r="G1438" s="71" t="s">
        <v>1870</v>
      </c>
      <c r="H1438" s="71" t="s">
        <v>406</v>
      </c>
      <c r="I1438" s="71" t="s">
        <v>1877</v>
      </c>
    </row>
    <row r="1439" spans="1:9" ht="29" x14ac:dyDescent="0.35">
      <c r="A1439">
        <v>10</v>
      </c>
      <c r="B1439">
        <v>20</v>
      </c>
      <c r="C1439" t="s">
        <v>1890</v>
      </c>
      <c r="D1439" s="64">
        <f>VLOOKUP(C1439,'CHAS - Cook Co'!$C$1:$J$2762,2,FALSE) - VLOOKUP(C1439,'CHAS - Chicago'!$C$1:$J$2762,2,FALSE)</f>
        <v>347950</v>
      </c>
      <c r="E1439" t="s">
        <v>366</v>
      </c>
      <c r="F1439" s="71" t="s">
        <v>367</v>
      </c>
      <c r="G1439" s="71" t="s">
        <v>1870</v>
      </c>
      <c r="H1439" s="71" t="s">
        <v>415</v>
      </c>
      <c r="I1439" s="71" t="s">
        <v>1867</v>
      </c>
    </row>
    <row r="1440" spans="1:9" ht="29" x14ac:dyDescent="0.35">
      <c r="A1440">
        <v>10</v>
      </c>
      <c r="B1440">
        <v>21</v>
      </c>
      <c r="C1440" t="s">
        <v>1891</v>
      </c>
      <c r="D1440" s="64">
        <f>VLOOKUP(C1440,'CHAS - Cook Co'!$C$1:$J$2762,2,FALSE) - VLOOKUP(C1440,'CHAS - Chicago'!$C$1:$J$2762,2,FALSE)</f>
        <v>278055</v>
      </c>
      <c r="E1440" t="s">
        <v>373</v>
      </c>
      <c r="F1440" s="71" t="s">
        <v>367</v>
      </c>
      <c r="G1440" s="71" t="s">
        <v>1870</v>
      </c>
      <c r="H1440" s="71" t="s">
        <v>415</v>
      </c>
      <c r="I1440" s="71" t="s">
        <v>1873</v>
      </c>
    </row>
    <row r="1441" spans="1:9" ht="43.5" x14ac:dyDescent="0.35">
      <c r="A1441">
        <v>10</v>
      </c>
      <c r="B1441">
        <v>22</v>
      </c>
      <c r="C1441" t="s">
        <v>1892</v>
      </c>
      <c r="D1441" s="64">
        <f>VLOOKUP(C1441,'CHAS - Cook Co'!$C$1:$J$2762,2,FALSE) - VLOOKUP(C1441,'CHAS - Chicago'!$C$1:$J$2762,2,FALSE)</f>
        <v>10770</v>
      </c>
      <c r="E1441" t="s">
        <v>373</v>
      </c>
      <c r="F1441" s="71" t="s">
        <v>367</v>
      </c>
      <c r="G1441" s="71" t="s">
        <v>1870</v>
      </c>
      <c r="H1441" s="71" t="s">
        <v>415</v>
      </c>
      <c r="I1441" s="71" t="s">
        <v>1875</v>
      </c>
    </row>
    <row r="1442" spans="1:9" ht="29" x14ac:dyDescent="0.35">
      <c r="A1442">
        <v>10</v>
      </c>
      <c r="B1442">
        <v>23</v>
      </c>
      <c r="C1442" t="s">
        <v>1893</v>
      </c>
      <c r="D1442" s="64">
        <f>VLOOKUP(C1442,'CHAS - Cook Co'!$C$1:$J$2762,2,FALSE) - VLOOKUP(C1442,'CHAS - Chicago'!$C$1:$J$2762,2,FALSE)</f>
        <v>59125</v>
      </c>
      <c r="E1442" t="s">
        <v>373</v>
      </c>
      <c r="F1442" s="71" t="s">
        <v>367</v>
      </c>
      <c r="G1442" s="71" t="s">
        <v>1870</v>
      </c>
      <c r="H1442" s="71" t="s">
        <v>415</v>
      </c>
      <c r="I1442" s="71" t="s">
        <v>1877</v>
      </c>
    </row>
    <row r="1443" spans="1:9" ht="29" x14ac:dyDescent="0.35">
      <c r="A1443">
        <v>10</v>
      </c>
      <c r="B1443">
        <v>24</v>
      </c>
      <c r="C1443" t="s">
        <v>1894</v>
      </c>
      <c r="D1443" s="64">
        <f>VLOOKUP(C1443,'CHAS - Cook Co'!$C$1:$J$2762,2,FALSE) - VLOOKUP(C1443,'CHAS - Chicago'!$C$1:$J$2762,2,FALSE)</f>
        <v>9540</v>
      </c>
      <c r="E1443" t="s">
        <v>366</v>
      </c>
      <c r="F1443" s="71" t="s">
        <v>367</v>
      </c>
      <c r="G1443" s="71" t="s">
        <v>1895</v>
      </c>
      <c r="H1443" s="71" t="s">
        <v>363</v>
      </c>
      <c r="I1443" s="71" t="s">
        <v>1867</v>
      </c>
    </row>
    <row r="1444" spans="1:9" ht="29" x14ac:dyDescent="0.35">
      <c r="A1444">
        <v>10</v>
      </c>
      <c r="B1444">
        <v>25</v>
      </c>
      <c r="C1444" t="s">
        <v>1896</v>
      </c>
      <c r="D1444" s="64">
        <f>VLOOKUP(C1444,'CHAS - Cook Co'!$C$1:$J$2762,2,FALSE) - VLOOKUP(C1444,'CHAS - Chicago'!$C$1:$J$2762,2,FALSE)</f>
        <v>895</v>
      </c>
      <c r="E1444" t="s">
        <v>366</v>
      </c>
      <c r="F1444" s="71" t="s">
        <v>367</v>
      </c>
      <c r="G1444" s="71" t="s">
        <v>1895</v>
      </c>
      <c r="H1444" s="71" t="s">
        <v>371</v>
      </c>
      <c r="I1444" s="71" t="s">
        <v>1867</v>
      </c>
    </row>
    <row r="1445" spans="1:9" ht="29" x14ac:dyDescent="0.35">
      <c r="A1445">
        <v>10</v>
      </c>
      <c r="B1445">
        <v>26</v>
      </c>
      <c r="C1445" t="s">
        <v>1897</v>
      </c>
      <c r="D1445" s="64">
        <f>VLOOKUP(C1445,'CHAS - Cook Co'!$C$1:$J$2762,2,FALSE) - VLOOKUP(C1445,'CHAS - Chicago'!$C$1:$J$2762,2,FALSE)</f>
        <v>730</v>
      </c>
      <c r="E1445" t="s">
        <v>373</v>
      </c>
      <c r="F1445" s="71" t="s">
        <v>367</v>
      </c>
      <c r="G1445" s="71" t="s">
        <v>1895</v>
      </c>
      <c r="H1445" s="71" t="s">
        <v>371</v>
      </c>
      <c r="I1445" s="71" t="s">
        <v>1873</v>
      </c>
    </row>
    <row r="1446" spans="1:9" ht="43.5" x14ac:dyDescent="0.35">
      <c r="A1446">
        <v>10</v>
      </c>
      <c r="B1446">
        <v>27</v>
      </c>
      <c r="C1446" t="s">
        <v>1898</v>
      </c>
      <c r="D1446" s="64">
        <f>VLOOKUP(C1446,'CHAS - Cook Co'!$C$1:$J$2762,2,FALSE) - VLOOKUP(C1446,'CHAS - Chicago'!$C$1:$J$2762,2,FALSE)</f>
        <v>165</v>
      </c>
      <c r="E1446" t="s">
        <v>373</v>
      </c>
      <c r="F1446" s="71" t="s">
        <v>367</v>
      </c>
      <c r="G1446" s="71" t="s">
        <v>1895</v>
      </c>
      <c r="H1446" s="71" t="s">
        <v>371</v>
      </c>
      <c r="I1446" s="71" t="s">
        <v>1875</v>
      </c>
    </row>
    <row r="1447" spans="1:9" ht="29" x14ac:dyDescent="0.35">
      <c r="A1447">
        <v>10</v>
      </c>
      <c r="B1447">
        <v>28</v>
      </c>
      <c r="C1447" t="s">
        <v>1899</v>
      </c>
      <c r="D1447" s="64">
        <f>VLOOKUP(C1447,'CHAS - Cook Co'!$C$1:$J$2762,2,FALSE) - VLOOKUP(C1447,'CHAS - Chicago'!$C$1:$J$2762,2,FALSE)</f>
        <v>0</v>
      </c>
      <c r="E1447" t="s">
        <v>373</v>
      </c>
      <c r="F1447" s="71" t="s">
        <v>367</v>
      </c>
      <c r="G1447" s="71" t="s">
        <v>1895</v>
      </c>
      <c r="H1447" s="71" t="s">
        <v>371</v>
      </c>
      <c r="I1447" s="71" t="s">
        <v>1877</v>
      </c>
    </row>
    <row r="1448" spans="1:9" ht="43.5" x14ac:dyDescent="0.35">
      <c r="A1448">
        <v>10</v>
      </c>
      <c r="B1448">
        <v>29</v>
      </c>
      <c r="C1448" t="s">
        <v>1900</v>
      </c>
      <c r="D1448" s="64">
        <f>VLOOKUP(C1448,'CHAS - Cook Co'!$C$1:$J$2762,2,FALSE) - VLOOKUP(C1448,'CHAS - Chicago'!$C$1:$J$2762,2,FALSE)</f>
        <v>1815</v>
      </c>
      <c r="E1448" t="s">
        <v>366</v>
      </c>
      <c r="F1448" s="71" t="s">
        <v>367</v>
      </c>
      <c r="G1448" s="71" t="s">
        <v>1895</v>
      </c>
      <c r="H1448" s="71" t="s">
        <v>388</v>
      </c>
      <c r="I1448" s="71" t="s">
        <v>1867</v>
      </c>
    </row>
    <row r="1449" spans="1:9" ht="43.5" x14ac:dyDescent="0.35">
      <c r="A1449">
        <v>10</v>
      </c>
      <c r="B1449">
        <v>30</v>
      </c>
      <c r="C1449" t="s">
        <v>1901</v>
      </c>
      <c r="D1449" s="64">
        <f>VLOOKUP(C1449,'CHAS - Cook Co'!$C$1:$J$2762,2,FALSE) - VLOOKUP(C1449,'CHAS - Chicago'!$C$1:$J$2762,2,FALSE)</f>
        <v>1435</v>
      </c>
      <c r="E1449" t="s">
        <v>373</v>
      </c>
      <c r="F1449" s="71" t="s">
        <v>367</v>
      </c>
      <c r="G1449" s="71" t="s">
        <v>1895</v>
      </c>
      <c r="H1449" s="71" t="s">
        <v>388</v>
      </c>
      <c r="I1449" s="71" t="s">
        <v>1873</v>
      </c>
    </row>
    <row r="1450" spans="1:9" ht="43.5" x14ac:dyDescent="0.35">
      <c r="A1450">
        <v>10</v>
      </c>
      <c r="B1450">
        <v>31</v>
      </c>
      <c r="C1450" t="s">
        <v>1902</v>
      </c>
      <c r="D1450" s="64">
        <f>VLOOKUP(C1450,'CHAS - Cook Co'!$C$1:$J$2762,2,FALSE) - VLOOKUP(C1450,'CHAS - Chicago'!$C$1:$J$2762,2,FALSE)</f>
        <v>350</v>
      </c>
      <c r="E1450" t="s">
        <v>373</v>
      </c>
      <c r="F1450" s="71" t="s">
        <v>367</v>
      </c>
      <c r="G1450" s="71" t="s">
        <v>1895</v>
      </c>
      <c r="H1450" s="71" t="s">
        <v>388</v>
      </c>
      <c r="I1450" s="71" t="s">
        <v>1875</v>
      </c>
    </row>
    <row r="1451" spans="1:9" ht="43.5" x14ac:dyDescent="0.35">
      <c r="A1451">
        <v>10</v>
      </c>
      <c r="B1451">
        <v>32</v>
      </c>
      <c r="C1451" t="s">
        <v>1903</v>
      </c>
      <c r="D1451" s="64">
        <f>VLOOKUP(C1451,'CHAS - Cook Co'!$C$1:$J$2762,2,FALSE) - VLOOKUP(C1451,'CHAS - Chicago'!$C$1:$J$2762,2,FALSE)</f>
        <v>30</v>
      </c>
      <c r="E1451" t="s">
        <v>373</v>
      </c>
      <c r="F1451" s="71" t="s">
        <v>367</v>
      </c>
      <c r="G1451" s="71" t="s">
        <v>1895</v>
      </c>
      <c r="H1451" s="71" t="s">
        <v>388</v>
      </c>
      <c r="I1451" s="71" t="s">
        <v>1877</v>
      </c>
    </row>
    <row r="1452" spans="1:9" ht="43.5" x14ac:dyDescent="0.35">
      <c r="A1452">
        <v>10</v>
      </c>
      <c r="B1452">
        <v>33</v>
      </c>
      <c r="C1452" t="s">
        <v>1904</v>
      </c>
      <c r="D1452" s="64">
        <f>VLOOKUP(C1452,'CHAS - Cook Co'!$C$1:$J$2762,2,FALSE) - VLOOKUP(C1452,'CHAS - Chicago'!$C$1:$J$2762,2,FALSE)</f>
        <v>2395</v>
      </c>
      <c r="E1452" t="s">
        <v>366</v>
      </c>
      <c r="F1452" s="71" t="s">
        <v>367</v>
      </c>
      <c r="G1452" s="71" t="s">
        <v>1895</v>
      </c>
      <c r="H1452" s="71" t="s">
        <v>397</v>
      </c>
      <c r="I1452" s="71" t="s">
        <v>1867</v>
      </c>
    </row>
    <row r="1453" spans="1:9" ht="43.5" x14ac:dyDescent="0.35">
      <c r="A1453">
        <v>10</v>
      </c>
      <c r="B1453">
        <v>34</v>
      </c>
      <c r="C1453" t="s">
        <v>1905</v>
      </c>
      <c r="D1453" s="64">
        <f>VLOOKUP(C1453,'CHAS - Cook Co'!$C$1:$J$2762,2,FALSE) - VLOOKUP(C1453,'CHAS - Chicago'!$C$1:$J$2762,2,FALSE)</f>
        <v>1715</v>
      </c>
      <c r="E1453" t="s">
        <v>373</v>
      </c>
      <c r="F1453" s="71" t="s">
        <v>367</v>
      </c>
      <c r="G1453" s="71" t="s">
        <v>1895</v>
      </c>
      <c r="H1453" s="71" t="s">
        <v>397</v>
      </c>
      <c r="I1453" s="71" t="s">
        <v>1873</v>
      </c>
    </row>
    <row r="1454" spans="1:9" ht="43.5" x14ac:dyDescent="0.35">
      <c r="A1454">
        <v>10</v>
      </c>
      <c r="B1454">
        <v>35</v>
      </c>
      <c r="C1454" t="s">
        <v>1906</v>
      </c>
      <c r="D1454" s="64">
        <f>VLOOKUP(C1454,'CHAS - Cook Co'!$C$1:$J$2762,2,FALSE) - VLOOKUP(C1454,'CHAS - Chicago'!$C$1:$J$2762,2,FALSE)</f>
        <v>680</v>
      </c>
      <c r="E1454" t="s">
        <v>373</v>
      </c>
      <c r="F1454" s="71" t="s">
        <v>367</v>
      </c>
      <c r="G1454" s="71" t="s">
        <v>1895</v>
      </c>
      <c r="H1454" s="71" t="s">
        <v>397</v>
      </c>
      <c r="I1454" s="71" t="s">
        <v>1875</v>
      </c>
    </row>
    <row r="1455" spans="1:9" ht="43.5" x14ac:dyDescent="0.35">
      <c r="A1455">
        <v>10</v>
      </c>
      <c r="B1455">
        <v>36</v>
      </c>
      <c r="C1455" t="s">
        <v>1907</v>
      </c>
      <c r="D1455" s="64">
        <f>VLOOKUP(C1455,'CHAS - Cook Co'!$C$1:$J$2762,2,FALSE) - VLOOKUP(C1455,'CHAS - Chicago'!$C$1:$J$2762,2,FALSE)</f>
        <v>0</v>
      </c>
      <c r="E1455" t="s">
        <v>373</v>
      </c>
      <c r="F1455" s="71" t="s">
        <v>367</v>
      </c>
      <c r="G1455" s="71" t="s">
        <v>1895</v>
      </c>
      <c r="H1455" s="71" t="s">
        <v>397</v>
      </c>
      <c r="I1455" s="71" t="s">
        <v>1877</v>
      </c>
    </row>
    <row r="1456" spans="1:9" ht="43.5" x14ac:dyDescent="0.35">
      <c r="A1456">
        <v>10</v>
      </c>
      <c r="B1456">
        <v>37</v>
      </c>
      <c r="C1456" t="s">
        <v>1908</v>
      </c>
      <c r="D1456" s="64">
        <f>VLOOKUP(C1456,'CHAS - Cook Co'!$C$1:$J$2762,2,FALSE) - VLOOKUP(C1456,'CHAS - Chicago'!$C$1:$J$2762,2,FALSE)</f>
        <v>1495</v>
      </c>
      <c r="E1456" t="s">
        <v>366</v>
      </c>
      <c r="F1456" s="71" t="s">
        <v>367</v>
      </c>
      <c r="G1456" s="71" t="s">
        <v>1895</v>
      </c>
      <c r="H1456" s="71" t="s">
        <v>406</v>
      </c>
      <c r="I1456" s="71" t="s">
        <v>1867</v>
      </c>
    </row>
    <row r="1457" spans="1:9" ht="43.5" x14ac:dyDescent="0.35">
      <c r="A1457">
        <v>10</v>
      </c>
      <c r="B1457">
        <v>38</v>
      </c>
      <c r="C1457" t="s">
        <v>1909</v>
      </c>
      <c r="D1457" s="64">
        <f>VLOOKUP(C1457,'CHAS - Cook Co'!$C$1:$J$2762,2,FALSE) - VLOOKUP(C1457,'CHAS - Chicago'!$C$1:$J$2762,2,FALSE)</f>
        <v>1040</v>
      </c>
      <c r="E1457" t="s">
        <v>373</v>
      </c>
      <c r="F1457" s="71" t="s">
        <v>367</v>
      </c>
      <c r="G1457" s="71" t="s">
        <v>1895</v>
      </c>
      <c r="H1457" s="71" t="s">
        <v>406</v>
      </c>
      <c r="I1457" s="71" t="s">
        <v>1873</v>
      </c>
    </row>
    <row r="1458" spans="1:9" ht="43.5" x14ac:dyDescent="0.35">
      <c r="A1458">
        <v>10</v>
      </c>
      <c r="B1458">
        <v>39</v>
      </c>
      <c r="C1458" t="s">
        <v>1910</v>
      </c>
      <c r="D1458" s="64">
        <f>VLOOKUP(C1458,'CHAS - Cook Co'!$C$1:$J$2762,2,FALSE) - VLOOKUP(C1458,'CHAS - Chicago'!$C$1:$J$2762,2,FALSE)</f>
        <v>450</v>
      </c>
      <c r="E1458" t="s">
        <v>373</v>
      </c>
      <c r="F1458" s="71" t="s">
        <v>367</v>
      </c>
      <c r="G1458" s="71" t="s">
        <v>1895</v>
      </c>
      <c r="H1458" s="71" t="s">
        <v>406</v>
      </c>
      <c r="I1458" s="71" t="s">
        <v>1875</v>
      </c>
    </row>
    <row r="1459" spans="1:9" ht="43.5" x14ac:dyDescent="0.35">
      <c r="A1459">
        <v>10</v>
      </c>
      <c r="B1459">
        <v>40</v>
      </c>
      <c r="C1459" t="s">
        <v>1911</v>
      </c>
      <c r="D1459" s="64">
        <f>VLOOKUP(C1459,'CHAS - Cook Co'!$C$1:$J$2762,2,FALSE) - VLOOKUP(C1459,'CHAS - Chicago'!$C$1:$J$2762,2,FALSE)</f>
        <v>0</v>
      </c>
      <c r="E1459" t="s">
        <v>373</v>
      </c>
      <c r="F1459" s="71" t="s">
        <v>367</v>
      </c>
      <c r="G1459" s="71" t="s">
        <v>1895</v>
      </c>
      <c r="H1459" s="71" t="s">
        <v>406</v>
      </c>
      <c r="I1459" s="71" t="s">
        <v>1877</v>
      </c>
    </row>
    <row r="1460" spans="1:9" ht="29" x14ac:dyDescent="0.35">
      <c r="A1460">
        <v>10</v>
      </c>
      <c r="B1460">
        <v>41</v>
      </c>
      <c r="C1460" t="s">
        <v>1912</v>
      </c>
      <c r="D1460" s="64">
        <f>VLOOKUP(C1460,'CHAS - Cook Co'!$C$1:$J$2762,2,FALSE) - VLOOKUP(C1460,'CHAS - Chicago'!$C$1:$J$2762,2,FALSE)</f>
        <v>2940</v>
      </c>
      <c r="E1460" t="s">
        <v>366</v>
      </c>
      <c r="F1460" s="71" t="s">
        <v>367</v>
      </c>
      <c r="G1460" s="71" t="s">
        <v>1895</v>
      </c>
      <c r="H1460" s="71" t="s">
        <v>415</v>
      </c>
      <c r="I1460" s="71" t="s">
        <v>1867</v>
      </c>
    </row>
    <row r="1461" spans="1:9" ht="29" x14ac:dyDescent="0.35">
      <c r="A1461">
        <v>10</v>
      </c>
      <c r="B1461">
        <v>42</v>
      </c>
      <c r="C1461" t="s">
        <v>1913</v>
      </c>
      <c r="D1461" s="64">
        <f>VLOOKUP(C1461,'CHAS - Cook Co'!$C$1:$J$2762,2,FALSE) - VLOOKUP(C1461,'CHAS - Chicago'!$C$1:$J$2762,2,FALSE)</f>
        <v>1735</v>
      </c>
      <c r="E1461" t="s">
        <v>373</v>
      </c>
      <c r="F1461" s="71" t="s">
        <v>367</v>
      </c>
      <c r="G1461" s="71" t="s">
        <v>1895</v>
      </c>
      <c r="H1461" s="71" t="s">
        <v>415</v>
      </c>
      <c r="I1461" s="71" t="s">
        <v>1873</v>
      </c>
    </row>
    <row r="1462" spans="1:9" ht="43.5" x14ac:dyDescent="0.35">
      <c r="A1462">
        <v>10</v>
      </c>
      <c r="B1462">
        <v>43</v>
      </c>
      <c r="C1462" t="s">
        <v>1914</v>
      </c>
      <c r="D1462" s="64">
        <f>VLOOKUP(C1462,'CHAS - Cook Co'!$C$1:$J$2762,2,FALSE) - VLOOKUP(C1462,'CHAS - Chicago'!$C$1:$J$2762,2,FALSE)</f>
        <v>1185</v>
      </c>
      <c r="E1462" t="s">
        <v>373</v>
      </c>
      <c r="F1462" s="71" t="s">
        <v>367</v>
      </c>
      <c r="G1462" s="71" t="s">
        <v>1895</v>
      </c>
      <c r="H1462" s="71" t="s">
        <v>415</v>
      </c>
      <c r="I1462" s="71" t="s">
        <v>1875</v>
      </c>
    </row>
    <row r="1463" spans="1:9" ht="29" x14ac:dyDescent="0.35">
      <c r="A1463">
        <v>10</v>
      </c>
      <c r="B1463">
        <v>44</v>
      </c>
      <c r="C1463" t="s">
        <v>1915</v>
      </c>
      <c r="D1463" s="64">
        <f>VLOOKUP(C1463,'CHAS - Cook Co'!$C$1:$J$2762,2,FALSE) - VLOOKUP(C1463,'CHAS - Chicago'!$C$1:$J$2762,2,FALSE)</f>
        <v>20</v>
      </c>
      <c r="E1463" t="s">
        <v>373</v>
      </c>
      <c r="F1463" s="71" t="s">
        <v>367</v>
      </c>
      <c r="G1463" s="71" t="s">
        <v>1895</v>
      </c>
      <c r="H1463" s="71" t="s">
        <v>415</v>
      </c>
      <c r="I1463" s="71" t="s">
        <v>1877</v>
      </c>
    </row>
    <row r="1464" spans="1:9" x14ac:dyDescent="0.35">
      <c r="A1464">
        <v>10</v>
      </c>
      <c r="B1464">
        <v>45</v>
      </c>
      <c r="C1464" t="s">
        <v>1916</v>
      </c>
      <c r="D1464" s="64">
        <f>VLOOKUP(C1464,'CHAS - Cook Co'!$C$1:$J$2762,2,FALSE) - VLOOKUP(C1464,'CHAS - Chicago'!$C$1:$J$2762,2,FALSE)</f>
        <v>2030</v>
      </c>
      <c r="E1464" t="s">
        <v>366</v>
      </c>
      <c r="F1464" s="71" t="s">
        <v>367</v>
      </c>
      <c r="G1464" s="71" t="s">
        <v>1917</v>
      </c>
      <c r="H1464" s="71" t="s">
        <v>363</v>
      </c>
      <c r="I1464" s="71" t="s">
        <v>1867</v>
      </c>
    </row>
    <row r="1465" spans="1:9" ht="29" x14ac:dyDescent="0.35">
      <c r="A1465">
        <v>10</v>
      </c>
      <c r="B1465">
        <v>46</v>
      </c>
      <c r="C1465" t="s">
        <v>1918</v>
      </c>
      <c r="D1465" s="64">
        <f>VLOOKUP(C1465,'CHAS - Cook Co'!$C$1:$J$2762,2,FALSE) - VLOOKUP(C1465,'CHAS - Chicago'!$C$1:$J$2762,2,FALSE)</f>
        <v>240</v>
      </c>
      <c r="E1465" t="s">
        <v>366</v>
      </c>
      <c r="F1465" s="71" t="s">
        <v>367</v>
      </c>
      <c r="G1465" s="71" t="s">
        <v>1917</v>
      </c>
      <c r="H1465" s="71" t="s">
        <v>371</v>
      </c>
      <c r="I1465" s="71" t="s">
        <v>1867</v>
      </c>
    </row>
    <row r="1466" spans="1:9" ht="29" x14ac:dyDescent="0.35">
      <c r="A1466">
        <v>10</v>
      </c>
      <c r="B1466">
        <v>47</v>
      </c>
      <c r="C1466" t="s">
        <v>1919</v>
      </c>
      <c r="D1466" s="64">
        <f>VLOOKUP(C1466,'CHAS - Cook Co'!$C$1:$J$2762,2,FALSE) - VLOOKUP(C1466,'CHAS - Chicago'!$C$1:$J$2762,2,FALSE)</f>
        <v>205</v>
      </c>
      <c r="E1466" t="s">
        <v>373</v>
      </c>
      <c r="F1466" s="71" t="s">
        <v>367</v>
      </c>
      <c r="G1466" s="71" t="s">
        <v>1917</v>
      </c>
      <c r="H1466" s="71" t="s">
        <v>371</v>
      </c>
      <c r="I1466" s="71" t="s">
        <v>1873</v>
      </c>
    </row>
    <row r="1467" spans="1:9" ht="43.5" x14ac:dyDescent="0.35">
      <c r="A1467">
        <v>10</v>
      </c>
      <c r="B1467">
        <v>48</v>
      </c>
      <c r="C1467" t="s">
        <v>1920</v>
      </c>
      <c r="D1467" s="64">
        <f>VLOOKUP(C1467,'CHAS - Cook Co'!$C$1:$J$2762,2,FALSE) - VLOOKUP(C1467,'CHAS - Chicago'!$C$1:$J$2762,2,FALSE)</f>
        <v>40</v>
      </c>
      <c r="E1467" t="s">
        <v>373</v>
      </c>
      <c r="F1467" s="71" t="s">
        <v>367</v>
      </c>
      <c r="G1467" s="71" t="s">
        <v>1917</v>
      </c>
      <c r="H1467" s="71" t="s">
        <v>371</v>
      </c>
      <c r="I1467" s="71" t="s">
        <v>1875</v>
      </c>
    </row>
    <row r="1468" spans="1:9" ht="29" x14ac:dyDescent="0.35">
      <c r="A1468">
        <v>10</v>
      </c>
      <c r="B1468">
        <v>49</v>
      </c>
      <c r="C1468" t="s">
        <v>1921</v>
      </c>
      <c r="D1468" s="64">
        <f>VLOOKUP(C1468,'CHAS - Cook Co'!$C$1:$J$2762,2,FALSE) - VLOOKUP(C1468,'CHAS - Chicago'!$C$1:$J$2762,2,FALSE)</f>
        <v>0</v>
      </c>
      <c r="E1468" t="s">
        <v>373</v>
      </c>
      <c r="F1468" s="71" t="s">
        <v>367</v>
      </c>
      <c r="G1468" s="71" t="s">
        <v>1917</v>
      </c>
      <c r="H1468" s="71" t="s">
        <v>371</v>
      </c>
      <c r="I1468" s="71" t="s">
        <v>1877</v>
      </c>
    </row>
    <row r="1469" spans="1:9" ht="43.5" x14ac:dyDescent="0.35">
      <c r="A1469">
        <v>10</v>
      </c>
      <c r="B1469">
        <v>50</v>
      </c>
      <c r="C1469" t="s">
        <v>1922</v>
      </c>
      <c r="D1469" s="64">
        <f>VLOOKUP(C1469,'CHAS - Cook Co'!$C$1:$J$2762,2,FALSE) - VLOOKUP(C1469,'CHAS - Chicago'!$C$1:$J$2762,2,FALSE)</f>
        <v>395</v>
      </c>
      <c r="E1469" t="s">
        <v>366</v>
      </c>
      <c r="F1469" s="71" t="s">
        <v>367</v>
      </c>
      <c r="G1469" s="71" t="s">
        <v>1917</v>
      </c>
      <c r="H1469" s="71" t="s">
        <v>388</v>
      </c>
      <c r="I1469" s="71" t="s">
        <v>1867</v>
      </c>
    </row>
    <row r="1470" spans="1:9" ht="43.5" x14ac:dyDescent="0.35">
      <c r="A1470">
        <v>10</v>
      </c>
      <c r="B1470">
        <v>51</v>
      </c>
      <c r="C1470" t="s">
        <v>1923</v>
      </c>
      <c r="D1470" s="64">
        <f>VLOOKUP(C1470,'CHAS - Cook Co'!$C$1:$J$2762,2,FALSE) - VLOOKUP(C1470,'CHAS - Chicago'!$C$1:$J$2762,2,FALSE)</f>
        <v>315</v>
      </c>
      <c r="E1470" t="s">
        <v>373</v>
      </c>
      <c r="F1470" s="71" t="s">
        <v>367</v>
      </c>
      <c r="G1470" s="71" t="s">
        <v>1917</v>
      </c>
      <c r="H1470" s="71" t="s">
        <v>388</v>
      </c>
      <c r="I1470" s="71" t="s">
        <v>1873</v>
      </c>
    </row>
    <row r="1471" spans="1:9" ht="43.5" x14ac:dyDescent="0.35">
      <c r="A1471">
        <v>10</v>
      </c>
      <c r="B1471">
        <v>52</v>
      </c>
      <c r="C1471" t="s">
        <v>1924</v>
      </c>
      <c r="D1471" s="64">
        <f>VLOOKUP(C1471,'CHAS - Cook Co'!$C$1:$J$2762,2,FALSE) - VLOOKUP(C1471,'CHAS - Chicago'!$C$1:$J$2762,2,FALSE)</f>
        <v>75</v>
      </c>
      <c r="E1471" t="s">
        <v>373</v>
      </c>
      <c r="F1471" s="71" t="s">
        <v>367</v>
      </c>
      <c r="G1471" s="71" t="s">
        <v>1917</v>
      </c>
      <c r="H1471" s="71" t="s">
        <v>388</v>
      </c>
      <c r="I1471" s="71" t="s">
        <v>1875</v>
      </c>
    </row>
    <row r="1472" spans="1:9" ht="43.5" x14ac:dyDescent="0.35">
      <c r="A1472">
        <v>10</v>
      </c>
      <c r="B1472">
        <v>53</v>
      </c>
      <c r="C1472" t="s">
        <v>1925</v>
      </c>
      <c r="D1472" s="64">
        <f>VLOOKUP(C1472,'CHAS - Cook Co'!$C$1:$J$2762,2,FALSE) - VLOOKUP(C1472,'CHAS - Chicago'!$C$1:$J$2762,2,FALSE)</f>
        <v>0</v>
      </c>
      <c r="E1472" t="s">
        <v>373</v>
      </c>
      <c r="F1472" s="71" t="s">
        <v>367</v>
      </c>
      <c r="G1472" s="71" t="s">
        <v>1917</v>
      </c>
      <c r="H1472" s="71" t="s">
        <v>388</v>
      </c>
      <c r="I1472" s="71" t="s">
        <v>1877</v>
      </c>
    </row>
    <row r="1473" spans="1:9" ht="43.5" x14ac:dyDescent="0.35">
      <c r="A1473">
        <v>10</v>
      </c>
      <c r="B1473">
        <v>54</v>
      </c>
      <c r="C1473" t="s">
        <v>1926</v>
      </c>
      <c r="D1473" s="64">
        <f>VLOOKUP(C1473,'CHAS - Cook Co'!$C$1:$J$2762,2,FALSE) - VLOOKUP(C1473,'CHAS - Chicago'!$C$1:$J$2762,2,FALSE)</f>
        <v>465</v>
      </c>
      <c r="E1473" t="s">
        <v>366</v>
      </c>
      <c r="F1473" s="71" t="s">
        <v>367</v>
      </c>
      <c r="G1473" s="71" t="s">
        <v>1917</v>
      </c>
      <c r="H1473" s="71" t="s">
        <v>397</v>
      </c>
      <c r="I1473" s="71" t="s">
        <v>1867</v>
      </c>
    </row>
    <row r="1474" spans="1:9" ht="43.5" x14ac:dyDescent="0.35">
      <c r="A1474">
        <v>10</v>
      </c>
      <c r="B1474">
        <v>55</v>
      </c>
      <c r="C1474" t="s">
        <v>1927</v>
      </c>
      <c r="D1474" s="64">
        <f>VLOOKUP(C1474,'CHAS - Cook Co'!$C$1:$J$2762,2,FALSE) - VLOOKUP(C1474,'CHAS - Chicago'!$C$1:$J$2762,2,FALSE)</f>
        <v>280</v>
      </c>
      <c r="E1474" t="s">
        <v>373</v>
      </c>
      <c r="F1474" s="71" t="s">
        <v>367</v>
      </c>
      <c r="G1474" s="71" t="s">
        <v>1917</v>
      </c>
      <c r="H1474" s="71" t="s">
        <v>397</v>
      </c>
      <c r="I1474" s="71" t="s">
        <v>1873</v>
      </c>
    </row>
    <row r="1475" spans="1:9" ht="43.5" x14ac:dyDescent="0.35">
      <c r="A1475">
        <v>10</v>
      </c>
      <c r="B1475">
        <v>56</v>
      </c>
      <c r="C1475" t="s">
        <v>1928</v>
      </c>
      <c r="D1475" s="64">
        <f>VLOOKUP(C1475,'CHAS - Cook Co'!$C$1:$J$2762,2,FALSE) - VLOOKUP(C1475,'CHAS - Chicago'!$C$1:$J$2762,2,FALSE)</f>
        <v>160</v>
      </c>
      <c r="E1475" t="s">
        <v>373</v>
      </c>
      <c r="F1475" s="71" t="s">
        <v>367</v>
      </c>
      <c r="G1475" s="71" t="s">
        <v>1917</v>
      </c>
      <c r="H1475" s="71" t="s">
        <v>397</v>
      </c>
      <c r="I1475" s="71" t="s">
        <v>1875</v>
      </c>
    </row>
    <row r="1476" spans="1:9" ht="43.5" x14ac:dyDescent="0.35">
      <c r="A1476">
        <v>10</v>
      </c>
      <c r="B1476">
        <v>57</v>
      </c>
      <c r="C1476" t="s">
        <v>1929</v>
      </c>
      <c r="D1476" s="64">
        <f>VLOOKUP(C1476,'CHAS - Cook Co'!$C$1:$J$2762,2,FALSE) - VLOOKUP(C1476,'CHAS - Chicago'!$C$1:$J$2762,2,FALSE)</f>
        <v>25</v>
      </c>
      <c r="E1476" t="s">
        <v>373</v>
      </c>
      <c r="F1476" s="71" t="s">
        <v>367</v>
      </c>
      <c r="G1476" s="71" t="s">
        <v>1917</v>
      </c>
      <c r="H1476" s="71" t="s">
        <v>397</v>
      </c>
      <c r="I1476" s="71" t="s">
        <v>1877</v>
      </c>
    </row>
    <row r="1477" spans="1:9" ht="43.5" x14ac:dyDescent="0.35">
      <c r="A1477">
        <v>10</v>
      </c>
      <c r="B1477">
        <v>58</v>
      </c>
      <c r="C1477" t="s">
        <v>1930</v>
      </c>
      <c r="D1477" s="64">
        <f>VLOOKUP(C1477,'CHAS - Cook Co'!$C$1:$J$2762,2,FALSE) - VLOOKUP(C1477,'CHAS - Chicago'!$C$1:$J$2762,2,FALSE)</f>
        <v>220</v>
      </c>
      <c r="E1477" t="s">
        <v>366</v>
      </c>
      <c r="F1477" s="71" t="s">
        <v>367</v>
      </c>
      <c r="G1477" s="71" t="s">
        <v>1917</v>
      </c>
      <c r="H1477" s="71" t="s">
        <v>406</v>
      </c>
      <c r="I1477" s="71" t="s">
        <v>1867</v>
      </c>
    </row>
    <row r="1478" spans="1:9" ht="43.5" x14ac:dyDescent="0.35">
      <c r="A1478">
        <v>10</v>
      </c>
      <c r="B1478">
        <v>59</v>
      </c>
      <c r="C1478" t="s">
        <v>1931</v>
      </c>
      <c r="D1478" s="64">
        <f>VLOOKUP(C1478,'CHAS - Cook Co'!$C$1:$J$2762,2,FALSE) - VLOOKUP(C1478,'CHAS - Chicago'!$C$1:$J$2762,2,FALSE)</f>
        <v>130</v>
      </c>
      <c r="E1478" t="s">
        <v>373</v>
      </c>
      <c r="F1478" s="71" t="s">
        <v>367</v>
      </c>
      <c r="G1478" s="71" t="s">
        <v>1917</v>
      </c>
      <c r="H1478" s="71" t="s">
        <v>406</v>
      </c>
      <c r="I1478" s="71" t="s">
        <v>1873</v>
      </c>
    </row>
    <row r="1479" spans="1:9" ht="43.5" x14ac:dyDescent="0.35">
      <c r="A1479">
        <v>10</v>
      </c>
      <c r="B1479">
        <v>60</v>
      </c>
      <c r="C1479" t="s">
        <v>1932</v>
      </c>
      <c r="D1479" s="64">
        <f>VLOOKUP(C1479,'CHAS - Cook Co'!$C$1:$J$2762,2,FALSE) - VLOOKUP(C1479,'CHAS - Chicago'!$C$1:$J$2762,2,FALSE)</f>
        <v>75</v>
      </c>
      <c r="E1479" t="s">
        <v>373</v>
      </c>
      <c r="F1479" s="71" t="s">
        <v>367</v>
      </c>
      <c r="G1479" s="71" t="s">
        <v>1917</v>
      </c>
      <c r="H1479" s="71" t="s">
        <v>406</v>
      </c>
      <c r="I1479" s="71" t="s">
        <v>1875</v>
      </c>
    </row>
    <row r="1480" spans="1:9" ht="43.5" x14ac:dyDescent="0.35">
      <c r="A1480">
        <v>10</v>
      </c>
      <c r="B1480">
        <v>61</v>
      </c>
      <c r="C1480" t="s">
        <v>1933</v>
      </c>
      <c r="D1480" s="64">
        <f>VLOOKUP(C1480,'CHAS - Cook Co'!$C$1:$J$2762,2,FALSE) - VLOOKUP(C1480,'CHAS - Chicago'!$C$1:$J$2762,2,FALSE)</f>
        <v>10</v>
      </c>
      <c r="E1480" t="s">
        <v>373</v>
      </c>
      <c r="F1480" s="71" t="s">
        <v>367</v>
      </c>
      <c r="G1480" s="71" t="s">
        <v>1917</v>
      </c>
      <c r="H1480" s="71" t="s">
        <v>406</v>
      </c>
      <c r="I1480" s="71" t="s">
        <v>1877</v>
      </c>
    </row>
    <row r="1481" spans="1:9" ht="29" x14ac:dyDescent="0.35">
      <c r="A1481">
        <v>10</v>
      </c>
      <c r="B1481">
        <v>62</v>
      </c>
      <c r="C1481" t="s">
        <v>1934</v>
      </c>
      <c r="D1481" s="64">
        <f>VLOOKUP(C1481,'CHAS - Cook Co'!$C$1:$J$2762,2,FALSE) - VLOOKUP(C1481,'CHAS - Chicago'!$C$1:$J$2762,2,FALSE)</f>
        <v>715</v>
      </c>
      <c r="E1481" t="s">
        <v>366</v>
      </c>
      <c r="F1481" s="71" t="s">
        <v>367</v>
      </c>
      <c r="G1481" s="71" t="s">
        <v>1917</v>
      </c>
      <c r="H1481" s="71" t="s">
        <v>415</v>
      </c>
      <c r="I1481" s="71" t="s">
        <v>1867</v>
      </c>
    </row>
    <row r="1482" spans="1:9" ht="29" x14ac:dyDescent="0.35">
      <c r="A1482">
        <v>10</v>
      </c>
      <c r="B1482">
        <v>63</v>
      </c>
      <c r="C1482" t="s">
        <v>1935</v>
      </c>
      <c r="D1482" s="64">
        <f>VLOOKUP(C1482,'CHAS - Cook Co'!$C$1:$J$2762,2,FALSE) - VLOOKUP(C1482,'CHAS - Chicago'!$C$1:$J$2762,2,FALSE)</f>
        <v>515</v>
      </c>
      <c r="E1482" t="s">
        <v>373</v>
      </c>
      <c r="F1482" s="71" t="s">
        <v>367</v>
      </c>
      <c r="G1482" s="71" t="s">
        <v>1917</v>
      </c>
      <c r="H1482" s="71" t="s">
        <v>415</v>
      </c>
      <c r="I1482" s="71" t="s">
        <v>1873</v>
      </c>
    </row>
    <row r="1483" spans="1:9" ht="43.5" x14ac:dyDescent="0.35">
      <c r="A1483">
        <v>10</v>
      </c>
      <c r="B1483">
        <v>64</v>
      </c>
      <c r="C1483" t="s">
        <v>1936</v>
      </c>
      <c r="D1483" s="64">
        <f>VLOOKUP(C1483,'CHAS - Cook Co'!$C$1:$J$2762,2,FALSE) - VLOOKUP(C1483,'CHAS - Chicago'!$C$1:$J$2762,2,FALSE)</f>
        <v>165</v>
      </c>
      <c r="E1483" t="s">
        <v>373</v>
      </c>
      <c r="F1483" s="71" t="s">
        <v>367</v>
      </c>
      <c r="G1483" s="71" t="s">
        <v>1917</v>
      </c>
      <c r="H1483" s="71" t="s">
        <v>415</v>
      </c>
      <c r="I1483" s="71" t="s">
        <v>1875</v>
      </c>
    </row>
    <row r="1484" spans="1:9" ht="29" x14ac:dyDescent="0.35">
      <c r="A1484">
        <v>10</v>
      </c>
      <c r="B1484">
        <v>65</v>
      </c>
      <c r="C1484" t="s">
        <v>1937</v>
      </c>
      <c r="D1484" s="64">
        <f>VLOOKUP(C1484,'CHAS - Cook Co'!$C$1:$J$2762,2,FALSE) - VLOOKUP(C1484,'CHAS - Chicago'!$C$1:$J$2762,2,FALSE)</f>
        <v>40</v>
      </c>
      <c r="E1484" t="s">
        <v>373</v>
      </c>
      <c r="F1484" s="71" t="s">
        <v>367</v>
      </c>
      <c r="G1484" s="71" t="s">
        <v>1917</v>
      </c>
      <c r="H1484" s="71" t="s">
        <v>415</v>
      </c>
      <c r="I1484" s="71" t="s">
        <v>1877</v>
      </c>
    </row>
    <row r="1485" spans="1:9" x14ac:dyDescent="0.35">
      <c r="A1485">
        <v>10</v>
      </c>
      <c r="B1485">
        <v>66</v>
      </c>
      <c r="C1485" t="s">
        <v>1938</v>
      </c>
      <c r="D1485" s="64">
        <f>VLOOKUP(C1485,'CHAS - Cook Co'!$C$1:$J$2762,2,FALSE) - VLOOKUP(C1485,'CHAS - Chicago'!$C$1:$J$2762,2,FALSE)</f>
        <v>263750</v>
      </c>
      <c r="E1485" t="s">
        <v>366</v>
      </c>
      <c r="F1485" s="71" t="s">
        <v>508</v>
      </c>
      <c r="G1485" s="71" t="s">
        <v>1866</v>
      </c>
      <c r="H1485" s="71" t="s">
        <v>363</v>
      </c>
      <c r="I1485" s="71" t="s">
        <v>1867</v>
      </c>
    </row>
    <row r="1486" spans="1:9" ht="29" x14ac:dyDescent="0.35">
      <c r="A1486">
        <v>10</v>
      </c>
      <c r="B1486">
        <v>67</v>
      </c>
      <c r="C1486" t="s">
        <v>1939</v>
      </c>
      <c r="D1486" s="64">
        <f>VLOOKUP(C1486,'CHAS - Cook Co'!$C$1:$J$2762,2,FALSE) - VLOOKUP(C1486,'CHAS - Chicago'!$C$1:$J$2762,2,FALSE)</f>
        <v>247815</v>
      </c>
      <c r="E1486" t="s">
        <v>366</v>
      </c>
      <c r="F1486" s="71" t="s">
        <v>508</v>
      </c>
      <c r="G1486" s="71" t="s">
        <v>1870</v>
      </c>
      <c r="H1486" s="71" t="s">
        <v>363</v>
      </c>
      <c r="I1486" s="71" t="s">
        <v>1867</v>
      </c>
    </row>
    <row r="1487" spans="1:9" ht="29" x14ac:dyDescent="0.35">
      <c r="A1487">
        <v>10</v>
      </c>
      <c r="B1487">
        <v>68</v>
      </c>
      <c r="C1487" t="s">
        <v>1940</v>
      </c>
      <c r="D1487" s="64">
        <f>VLOOKUP(C1487,'CHAS - Cook Co'!$C$1:$J$2762,2,FALSE) - VLOOKUP(C1487,'CHAS - Chicago'!$C$1:$J$2762,2,FALSE)</f>
        <v>66775</v>
      </c>
      <c r="E1487" t="s">
        <v>366</v>
      </c>
      <c r="F1487" s="71" t="s">
        <v>508</v>
      </c>
      <c r="G1487" s="71" t="s">
        <v>1870</v>
      </c>
      <c r="H1487" s="71" t="s">
        <v>371</v>
      </c>
      <c r="I1487" s="71" t="s">
        <v>1867</v>
      </c>
    </row>
    <row r="1488" spans="1:9" ht="29" x14ac:dyDescent="0.35">
      <c r="A1488">
        <v>10</v>
      </c>
      <c r="B1488">
        <v>69</v>
      </c>
      <c r="C1488" t="s">
        <v>1941</v>
      </c>
      <c r="D1488" s="64">
        <f>VLOOKUP(C1488,'CHAS - Cook Co'!$C$1:$J$2762,2,FALSE) - VLOOKUP(C1488,'CHAS - Chicago'!$C$1:$J$2762,2,FALSE)</f>
        <v>27915</v>
      </c>
      <c r="E1488" t="s">
        <v>373</v>
      </c>
      <c r="F1488" s="71" t="s">
        <v>508</v>
      </c>
      <c r="G1488" s="71" t="s">
        <v>1870</v>
      </c>
      <c r="H1488" s="71" t="s">
        <v>371</v>
      </c>
      <c r="I1488" s="71" t="s">
        <v>1873</v>
      </c>
    </row>
    <row r="1489" spans="1:9" ht="43.5" x14ac:dyDescent="0.35">
      <c r="A1489">
        <v>10</v>
      </c>
      <c r="B1489">
        <v>70</v>
      </c>
      <c r="C1489" t="s">
        <v>1942</v>
      </c>
      <c r="D1489" s="64">
        <f>VLOOKUP(C1489,'CHAS - Cook Co'!$C$1:$J$2762,2,FALSE) - VLOOKUP(C1489,'CHAS - Chicago'!$C$1:$J$2762,2,FALSE)</f>
        <v>990</v>
      </c>
      <c r="E1489" t="s">
        <v>373</v>
      </c>
      <c r="F1489" s="71" t="s">
        <v>508</v>
      </c>
      <c r="G1489" s="71" t="s">
        <v>1870</v>
      </c>
      <c r="H1489" s="71" t="s">
        <v>371</v>
      </c>
      <c r="I1489" s="71" t="s">
        <v>1875</v>
      </c>
    </row>
    <row r="1490" spans="1:9" ht="29" x14ac:dyDescent="0.35">
      <c r="A1490">
        <v>10</v>
      </c>
      <c r="B1490">
        <v>71</v>
      </c>
      <c r="C1490" t="s">
        <v>1943</v>
      </c>
      <c r="D1490" s="64">
        <f>VLOOKUP(C1490,'CHAS - Cook Co'!$C$1:$J$2762,2,FALSE) - VLOOKUP(C1490,'CHAS - Chicago'!$C$1:$J$2762,2,FALSE)</f>
        <v>37870</v>
      </c>
      <c r="E1490" t="s">
        <v>373</v>
      </c>
      <c r="F1490" s="71" t="s">
        <v>508</v>
      </c>
      <c r="G1490" s="71" t="s">
        <v>1870</v>
      </c>
      <c r="H1490" s="71" t="s">
        <v>371</v>
      </c>
      <c r="I1490" s="71" t="s">
        <v>1877</v>
      </c>
    </row>
    <row r="1491" spans="1:9" ht="43.5" x14ac:dyDescent="0.35">
      <c r="A1491">
        <v>10</v>
      </c>
      <c r="B1491">
        <v>72</v>
      </c>
      <c r="C1491" t="s">
        <v>1944</v>
      </c>
      <c r="D1491" s="64">
        <f>VLOOKUP(C1491,'CHAS - Cook Co'!$C$1:$J$2762,2,FALSE) - VLOOKUP(C1491,'CHAS - Chicago'!$C$1:$J$2762,2,FALSE)</f>
        <v>44000</v>
      </c>
      <c r="E1491" t="s">
        <v>366</v>
      </c>
      <c r="F1491" s="71" t="s">
        <v>508</v>
      </c>
      <c r="G1491" s="71" t="s">
        <v>1870</v>
      </c>
      <c r="H1491" s="71" t="s">
        <v>388</v>
      </c>
      <c r="I1491" s="71" t="s">
        <v>1867</v>
      </c>
    </row>
    <row r="1492" spans="1:9" ht="43.5" x14ac:dyDescent="0.35">
      <c r="A1492">
        <v>10</v>
      </c>
      <c r="B1492">
        <v>73</v>
      </c>
      <c r="C1492" t="s">
        <v>1945</v>
      </c>
      <c r="D1492" s="64">
        <f>VLOOKUP(C1492,'CHAS - Cook Co'!$C$1:$J$2762,2,FALSE) - VLOOKUP(C1492,'CHAS - Chicago'!$C$1:$J$2762,2,FALSE)</f>
        <v>23365</v>
      </c>
      <c r="E1492" t="s">
        <v>373</v>
      </c>
      <c r="F1492" s="71" t="s">
        <v>508</v>
      </c>
      <c r="G1492" s="71" t="s">
        <v>1870</v>
      </c>
      <c r="H1492" s="71" t="s">
        <v>388</v>
      </c>
      <c r="I1492" s="71" t="s">
        <v>1873</v>
      </c>
    </row>
    <row r="1493" spans="1:9" ht="43.5" x14ac:dyDescent="0.35">
      <c r="A1493">
        <v>10</v>
      </c>
      <c r="B1493">
        <v>74</v>
      </c>
      <c r="C1493" t="s">
        <v>1946</v>
      </c>
      <c r="D1493" s="64">
        <f>VLOOKUP(C1493,'CHAS - Cook Co'!$C$1:$J$2762,2,FALSE) - VLOOKUP(C1493,'CHAS - Chicago'!$C$1:$J$2762,2,FALSE)</f>
        <v>1075</v>
      </c>
      <c r="E1493" t="s">
        <v>373</v>
      </c>
      <c r="F1493" s="71" t="s">
        <v>508</v>
      </c>
      <c r="G1493" s="71" t="s">
        <v>1870</v>
      </c>
      <c r="H1493" s="71" t="s">
        <v>388</v>
      </c>
      <c r="I1493" s="71" t="s">
        <v>1875</v>
      </c>
    </row>
    <row r="1494" spans="1:9" ht="43.5" x14ac:dyDescent="0.35">
      <c r="A1494">
        <v>10</v>
      </c>
      <c r="B1494">
        <v>75</v>
      </c>
      <c r="C1494" t="s">
        <v>1947</v>
      </c>
      <c r="D1494" s="64">
        <f>VLOOKUP(C1494,'CHAS - Cook Co'!$C$1:$J$2762,2,FALSE) - VLOOKUP(C1494,'CHAS - Chicago'!$C$1:$J$2762,2,FALSE)</f>
        <v>19565</v>
      </c>
      <c r="E1494" t="s">
        <v>373</v>
      </c>
      <c r="F1494" s="71" t="s">
        <v>508</v>
      </c>
      <c r="G1494" s="71" t="s">
        <v>1870</v>
      </c>
      <c r="H1494" s="71" t="s">
        <v>388</v>
      </c>
      <c r="I1494" s="71" t="s">
        <v>1877</v>
      </c>
    </row>
    <row r="1495" spans="1:9" ht="43.5" x14ac:dyDescent="0.35">
      <c r="A1495">
        <v>10</v>
      </c>
      <c r="B1495">
        <v>76</v>
      </c>
      <c r="C1495" t="s">
        <v>1948</v>
      </c>
      <c r="D1495" s="64">
        <f>VLOOKUP(C1495,'CHAS - Cook Co'!$C$1:$J$2762,2,FALSE) - VLOOKUP(C1495,'CHAS - Chicago'!$C$1:$J$2762,2,FALSE)</f>
        <v>50650</v>
      </c>
      <c r="E1495" t="s">
        <v>366</v>
      </c>
      <c r="F1495" s="71" t="s">
        <v>508</v>
      </c>
      <c r="G1495" s="71" t="s">
        <v>1870</v>
      </c>
      <c r="H1495" s="71" t="s">
        <v>397</v>
      </c>
      <c r="I1495" s="71" t="s">
        <v>1867</v>
      </c>
    </row>
    <row r="1496" spans="1:9" ht="43.5" x14ac:dyDescent="0.35">
      <c r="A1496">
        <v>10</v>
      </c>
      <c r="B1496">
        <v>77</v>
      </c>
      <c r="C1496" t="s">
        <v>1949</v>
      </c>
      <c r="D1496" s="64">
        <f>VLOOKUP(C1496,'CHAS - Cook Co'!$C$1:$J$2762,2,FALSE) - VLOOKUP(C1496,'CHAS - Chicago'!$C$1:$J$2762,2,FALSE)</f>
        <v>27250</v>
      </c>
      <c r="E1496" t="s">
        <v>373</v>
      </c>
      <c r="F1496" s="71" t="s">
        <v>508</v>
      </c>
      <c r="G1496" s="71" t="s">
        <v>1870</v>
      </c>
      <c r="H1496" s="71" t="s">
        <v>397</v>
      </c>
      <c r="I1496" s="71" t="s">
        <v>1873</v>
      </c>
    </row>
    <row r="1497" spans="1:9" ht="43.5" x14ac:dyDescent="0.35">
      <c r="A1497">
        <v>10</v>
      </c>
      <c r="B1497">
        <v>78</v>
      </c>
      <c r="C1497" t="s">
        <v>1950</v>
      </c>
      <c r="D1497" s="64">
        <f>VLOOKUP(C1497,'CHAS - Cook Co'!$C$1:$J$2762,2,FALSE) - VLOOKUP(C1497,'CHAS - Chicago'!$C$1:$J$2762,2,FALSE)</f>
        <v>1300</v>
      </c>
      <c r="E1497" t="s">
        <v>373</v>
      </c>
      <c r="F1497" s="71" t="s">
        <v>508</v>
      </c>
      <c r="G1497" s="71" t="s">
        <v>1870</v>
      </c>
      <c r="H1497" s="71" t="s">
        <v>397</v>
      </c>
      <c r="I1497" s="71" t="s">
        <v>1875</v>
      </c>
    </row>
    <row r="1498" spans="1:9" ht="43.5" x14ac:dyDescent="0.35">
      <c r="A1498">
        <v>10</v>
      </c>
      <c r="B1498">
        <v>79</v>
      </c>
      <c r="C1498" t="s">
        <v>1951</v>
      </c>
      <c r="D1498" s="64">
        <f>VLOOKUP(C1498,'CHAS - Cook Co'!$C$1:$J$2762,2,FALSE) - VLOOKUP(C1498,'CHAS - Chicago'!$C$1:$J$2762,2,FALSE)</f>
        <v>22105</v>
      </c>
      <c r="E1498" t="s">
        <v>373</v>
      </c>
      <c r="F1498" s="71" t="s">
        <v>508</v>
      </c>
      <c r="G1498" s="71" t="s">
        <v>1870</v>
      </c>
      <c r="H1498" s="71" t="s">
        <v>397</v>
      </c>
      <c r="I1498" s="71" t="s">
        <v>1877</v>
      </c>
    </row>
    <row r="1499" spans="1:9" ht="43.5" x14ac:dyDescent="0.35">
      <c r="A1499">
        <v>10</v>
      </c>
      <c r="B1499">
        <v>80</v>
      </c>
      <c r="C1499" t="s">
        <v>1952</v>
      </c>
      <c r="D1499" s="64">
        <f>VLOOKUP(C1499,'CHAS - Cook Co'!$C$1:$J$2762,2,FALSE) - VLOOKUP(C1499,'CHAS - Chicago'!$C$1:$J$2762,2,FALSE)</f>
        <v>26165</v>
      </c>
      <c r="E1499" t="s">
        <v>366</v>
      </c>
      <c r="F1499" s="71" t="s">
        <v>508</v>
      </c>
      <c r="G1499" s="71" t="s">
        <v>1870</v>
      </c>
      <c r="H1499" s="71" t="s">
        <v>406</v>
      </c>
      <c r="I1499" s="71" t="s">
        <v>1867</v>
      </c>
    </row>
    <row r="1500" spans="1:9" ht="43.5" x14ac:dyDescent="0.35">
      <c r="A1500">
        <v>10</v>
      </c>
      <c r="B1500">
        <v>81</v>
      </c>
      <c r="C1500" t="s">
        <v>1953</v>
      </c>
      <c r="D1500" s="64">
        <f>VLOOKUP(C1500,'CHAS - Cook Co'!$C$1:$J$2762,2,FALSE) - VLOOKUP(C1500,'CHAS - Chicago'!$C$1:$J$2762,2,FALSE)</f>
        <v>14005</v>
      </c>
      <c r="E1500" t="s">
        <v>373</v>
      </c>
      <c r="F1500" s="71" t="s">
        <v>508</v>
      </c>
      <c r="G1500" s="71" t="s">
        <v>1870</v>
      </c>
      <c r="H1500" s="71" t="s">
        <v>406</v>
      </c>
      <c r="I1500" s="71" t="s">
        <v>1873</v>
      </c>
    </row>
    <row r="1501" spans="1:9" ht="43.5" x14ac:dyDescent="0.35">
      <c r="A1501">
        <v>10</v>
      </c>
      <c r="B1501">
        <v>82</v>
      </c>
      <c r="C1501" t="s">
        <v>1954</v>
      </c>
      <c r="D1501" s="64">
        <f>VLOOKUP(C1501,'CHAS - Cook Co'!$C$1:$J$2762,2,FALSE) - VLOOKUP(C1501,'CHAS - Chicago'!$C$1:$J$2762,2,FALSE)</f>
        <v>855</v>
      </c>
      <c r="E1501" t="s">
        <v>373</v>
      </c>
      <c r="F1501" s="71" t="s">
        <v>508</v>
      </c>
      <c r="G1501" s="71" t="s">
        <v>1870</v>
      </c>
      <c r="H1501" s="71" t="s">
        <v>406</v>
      </c>
      <c r="I1501" s="71" t="s">
        <v>1875</v>
      </c>
    </row>
    <row r="1502" spans="1:9" ht="43.5" x14ac:dyDescent="0.35">
      <c r="A1502">
        <v>10</v>
      </c>
      <c r="B1502">
        <v>83</v>
      </c>
      <c r="C1502" t="s">
        <v>1955</v>
      </c>
      <c r="D1502" s="64">
        <f>VLOOKUP(C1502,'CHAS - Cook Co'!$C$1:$J$2762,2,FALSE) - VLOOKUP(C1502,'CHAS - Chicago'!$C$1:$J$2762,2,FALSE)</f>
        <v>11305</v>
      </c>
      <c r="E1502" t="s">
        <v>373</v>
      </c>
      <c r="F1502" s="71" t="s">
        <v>508</v>
      </c>
      <c r="G1502" s="71" t="s">
        <v>1870</v>
      </c>
      <c r="H1502" s="71" t="s">
        <v>406</v>
      </c>
      <c r="I1502" s="71" t="s">
        <v>1877</v>
      </c>
    </row>
    <row r="1503" spans="1:9" ht="29" x14ac:dyDescent="0.35">
      <c r="A1503">
        <v>10</v>
      </c>
      <c r="B1503">
        <v>84</v>
      </c>
      <c r="C1503" t="s">
        <v>1956</v>
      </c>
      <c r="D1503" s="64">
        <f>VLOOKUP(C1503,'CHAS - Cook Co'!$C$1:$J$2762,2,FALSE) - VLOOKUP(C1503,'CHAS - Chicago'!$C$1:$J$2762,2,FALSE)</f>
        <v>60225</v>
      </c>
      <c r="E1503" t="s">
        <v>366</v>
      </c>
      <c r="F1503" s="71" t="s">
        <v>508</v>
      </c>
      <c r="G1503" s="71" t="s">
        <v>1870</v>
      </c>
      <c r="H1503" s="71" t="s">
        <v>415</v>
      </c>
      <c r="I1503" s="71" t="s">
        <v>1867</v>
      </c>
    </row>
    <row r="1504" spans="1:9" ht="29" x14ac:dyDescent="0.35">
      <c r="A1504">
        <v>10</v>
      </c>
      <c r="B1504">
        <v>85</v>
      </c>
      <c r="C1504" t="s">
        <v>1957</v>
      </c>
      <c r="D1504" s="64">
        <f>VLOOKUP(C1504,'CHAS - Cook Co'!$C$1:$J$2762,2,FALSE) - VLOOKUP(C1504,'CHAS - Chicago'!$C$1:$J$2762,2,FALSE)</f>
        <v>33830</v>
      </c>
      <c r="E1504" t="s">
        <v>373</v>
      </c>
      <c r="F1504" s="71" t="s">
        <v>508</v>
      </c>
      <c r="G1504" s="71" t="s">
        <v>1870</v>
      </c>
      <c r="H1504" s="71" t="s">
        <v>415</v>
      </c>
      <c r="I1504" s="71" t="s">
        <v>1873</v>
      </c>
    </row>
    <row r="1505" spans="1:9" ht="43.5" x14ac:dyDescent="0.35">
      <c r="A1505">
        <v>10</v>
      </c>
      <c r="B1505">
        <v>86</v>
      </c>
      <c r="C1505" t="s">
        <v>1958</v>
      </c>
      <c r="D1505" s="64">
        <f>VLOOKUP(C1505,'CHAS - Cook Co'!$C$1:$J$2762,2,FALSE) - VLOOKUP(C1505,'CHAS - Chicago'!$C$1:$J$2762,2,FALSE)</f>
        <v>1320</v>
      </c>
      <c r="E1505" t="s">
        <v>373</v>
      </c>
      <c r="F1505" s="71" t="s">
        <v>508</v>
      </c>
      <c r="G1505" s="71" t="s">
        <v>1870</v>
      </c>
      <c r="H1505" s="71" t="s">
        <v>415</v>
      </c>
      <c r="I1505" s="71" t="s">
        <v>1875</v>
      </c>
    </row>
    <row r="1506" spans="1:9" ht="29" x14ac:dyDescent="0.35">
      <c r="A1506">
        <v>10</v>
      </c>
      <c r="B1506">
        <v>87</v>
      </c>
      <c r="C1506" t="s">
        <v>1959</v>
      </c>
      <c r="D1506" s="64">
        <f>VLOOKUP(C1506,'CHAS - Cook Co'!$C$1:$J$2762,2,FALSE) - VLOOKUP(C1506,'CHAS - Chicago'!$C$1:$J$2762,2,FALSE)</f>
        <v>25075</v>
      </c>
      <c r="E1506" t="s">
        <v>373</v>
      </c>
      <c r="F1506" s="71" t="s">
        <v>508</v>
      </c>
      <c r="G1506" s="71" t="s">
        <v>1870</v>
      </c>
      <c r="H1506" s="71" t="s">
        <v>415</v>
      </c>
      <c r="I1506" s="71" t="s">
        <v>1877</v>
      </c>
    </row>
    <row r="1507" spans="1:9" ht="29" x14ac:dyDescent="0.35">
      <c r="A1507">
        <v>10</v>
      </c>
      <c r="B1507">
        <v>88</v>
      </c>
      <c r="C1507" t="s">
        <v>1960</v>
      </c>
      <c r="D1507" s="64">
        <f>VLOOKUP(C1507,'CHAS - Cook Co'!$C$1:$J$2762,2,FALSE) - VLOOKUP(C1507,'CHAS - Chicago'!$C$1:$J$2762,2,FALSE)</f>
        <v>12260</v>
      </c>
      <c r="E1507" t="s">
        <v>366</v>
      </c>
      <c r="F1507" s="71" t="s">
        <v>508</v>
      </c>
      <c r="G1507" s="71" t="s">
        <v>1895</v>
      </c>
      <c r="H1507" s="71" t="s">
        <v>363</v>
      </c>
      <c r="I1507" s="71" t="s">
        <v>1867</v>
      </c>
    </row>
    <row r="1508" spans="1:9" ht="29" x14ac:dyDescent="0.35">
      <c r="A1508">
        <v>10</v>
      </c>
      <c r="B1508">
        <v>89</v>
      </c>
      <c r="C1508" t="s">
        <v>1961</v>
      </c>
      <c r="D1508" s="64">
        <f>VLOOKUP(C1508,'CHAS - Cook Co'!$C$1:$J$2762,2,FALSE) - VLOOKUP(C1508,'CHAS - Chicago'!$C$1:$J$2762,2,FALSE)</f>
        <v>3825</v>
      </c>
      <c r="E1508" t="s">
        <v>366</v>
      </c>
      <c r="F1508" s="71" t="s">
        <v>508</v>
      </c>
      <c r="G1508" s="71" t="s">
        <v>1895</v>
      </c>
      <c r="H1508" s="71" t="s">
        <v>371</v>
      </c>
      <c r="I1508" s="71" t="s">
        <v>1867</v>
      </c>
    </row>
    <row r="1509" spans="1:9" ht="29" x14ac:dyDescent="0.35">
      <c r="A1509">
        <v>10</v>
      </c>
      <c r="B1509">
        <v>90</v>
      </c>
      <c r="C1509" t="s">
        <v>1962</v>
      </c>
      <c r="D1509" s="64">
        <f>VLOOKUP(C1509,'CHAS - Cook Co'!$C$1:$J$2762,2,FALSE) - VLOOKUP(C1509,'CHAS - Chicago'!$C$1:$J$2762,2,FALSE)</f>
        <v>3455</v>
      </c>
      <c r="E1509" t="s">
        <v>373</v>
      </c>
      <c r="F1509" s="71" t="s">
        <v>508</v>
      </c>
      <c r="G1509" s="71" t="s">
        <v>1895</v>
      </c>
      <c r="H1509" s="71" t="s">
        <v>371</v>
      </c>
      <c r="I1509" s="71" t="s">
        <v>1873</v>
      </c>
    </row>
    <row r="1510" spans="1:9" ht="43.5" x14ac:dyDescent="0.35">
      <c r="A1510">
        <v>10</v>
      </c>
      <c r="B1510">
        <v>91</v>
      </c>
      <c r="C1510" t="s">
        <v>1963</v>
      </c>
      <c r="D1510" s="64">
        <f>VLOOKUP(C1510,'CHAS - Cook Co'!$C$1:$J$2762,2,FALSE) - VLOOKUP(C1510,'CHAS - Chicago'!$C$1:$J$2762,2,FALSE)</f>
        <v>365</v>
      </c>
      <c r="E1510" t="s">
        <v>373</v>
      </c>
      <c r="F1510" s="71" t="s">
        <v>508</v>
      </c>
      <c r="G1510" s="71" t="s">
        <v>1895</v>
      </c>
      <c r="H1510" s="71" t="s">
        <v>371</v>
      </c>
      <c r="I1510" s="71" t="s">
        <v>1875</v>
      </c>
    </row>
    <row r="1511" spans="1:9" ht="29" x14ac:dyDescent="0.35">
      <c r="A1511">
        <v>10</v>
      </c>
      <c r="B1511">
        <v>92</v>
      </c>
      <c r="C1511" t="s">
        <v>1964</v>
      </c>
      <c r="D1511" s="64">
        <f>VLOOKUP(C1511,'CHAS - Cook Co'!$C$1:$J$2762,2,FALSE) - VLOOKUP(C1511,'CHAS - Chicago'!$C$1:$J$2762,2,FALSE)</f>
        <v>0</v>
      </c>
      <c r="E1511" t="s">
        <v>373</v>
      </c>
      <c r="F1511" s="71" t="s">
        <v>508</v>
      </c>
      <c r="G1511" s="71" t="s">
        <v>1895</v>
      </c>
      <c r="H1511" s="71" t="s">
        <v>371</v>
      </c>
      <c r="I1511" s="71" t="s">
        <v>1877</v>
      </c>
    </row>
    <row r="1512" spans="1:9" ht="43.5" x14ac:dyDescent="0.35">
      <c r="A1512">
        <v>10</v>
      </c>
      <c r="B1512">
        <v>93</v>
      </c>
      <c r="C1512" t="s">
        <v>1965</v>
      </c>
      <c r="D1512" s="64">
        <f>VLOOKUP(C1512,'CHAS - Cook Co'!$C$1:$J$2762,2,FALSE) - VLOOKUP(C1512,'CHAS - Chicago'!$C$1:$J$2762,2,FALSE)</f>
        <v>3530</v>
      </c>
      <c r="E1512" t="s">
        <v>366</v>
      </c>
      <c r="F1512" s="71" t="s">
        <v>508</v>
      </c>
      <c r="G1512" s="71" t="s">
        <v>1895</v>
      </c>
      <c r="H1512" s="71" t="s">
        <v>388</v>
      </c>
      <c r="I1512" s="71" t="s">
        <v>1867</v>
      </c>
    </row>
    <row r="1513" spans="1:9" ht="43.5" x14ac:dyDescent="0.35">
      <c r="A1513">
        <v>10</v>
      </c>
      <c r="B1513">
        <v>94</v>
      </c>
      <c r="C1513" t="s">
        <v>1966</v>
      </c>
      <c r="D1513" s="64">
        <f>VLOOKUP(C1513,'CHAS - Cook Co'!$C$1:$J$2762,2,FALSE) - VLOOKUP(C1513,'CHAS - Chicago'!$C$1:$J$2762,2,FALSE)</f>
        <v>3100</v>
      </c>
      <c r="E1513" t="s">
        <v>373</v>
      </c>
      <c r="F1513" s="71" t="s">
        <v>508</v>
      </c>
      <c r="G1513" s="71" t="s">
        <v>1895</v>
      </c>
      <c r="H1513" s="71" t="s">
        <v>388</v>
      </c>
      <c r="I1513" s="71" t="s">
        <v>1873</v>
      </c>
    </row>
    <row r="1514" spans="1:9" ht="43.5" x14ac:dyDescent="0.35">
      <c r="A1514">
        <v>10</v>
      </c>
      <c r="B1514">
        <v>95</v>
      </c>
      <c r="C1514" t="s">
        <v>1967</v>
      </c>
      <c r="D1514" s="64">
        <f>VLOOKUP(C1514,'CHAS - Cook Co'!$C$1:$J$2762,2,FALSE) - VLOOKUP(C1514,'CHAS - Chicago'!$C$1:$J$2762,2,FALSE)</f>
        <v>425</v>
      </c>
      <c r="E1514" t="s">
        <v>373</v>
      </c>
      <c r="F1514" s="71" t="s">
        <v>508</v>
      </c>
      <c r="G1514" s="71" t="s">
        <v>1895</v>
      </c>
      <c r="H1514" s="71" t="s">
        <v>388</v>
      </c>
      <c r="I1514" s="71" t="s">
        <v>1875</v>
      </c>
    </row>
    <row r="1515" spans="1:9" ht="43.5" x14ac:dyDescent="0.35">
      <c r="A1515">
        <v>10</v>
      </c>
      <c r="B1515">
        <v>96</v>
      </c>
      <c r="C1515" t="s">
        <v>1968</v>
      </c>
      <c r="D1515" s="64">
        <f>VLOOKUP(C1515,'CHAS - Cook Co'!$C$1:$J$2762,2,FALSE) - VLOOKUP(C1515,'CHAS - Chicago'!$C$1:$J$2762,2,FALSE)</f>
        <v>10</v>
      </c>
      <c r="E1515" t="s">
        <v>373</v>
      </c>
      <c r="F1515" s="71" t="s">
        <v>508</v>
      </c>
      <c r="G1515" s="71" t="s">
        <v>1895</v>
      </c>
      <c r="H1515" s="71" t="s">
        <v>388</v>
      </c>
      <c r="I1515" s="71" t="s">
        <v>1877</v>
      </c>
    </row>
    <row r="1516" spans="1:9" ht="43.5" x14ac:dyDescent="0.35">
      <c r="A1516">
        <v>10</v>
      </c>
      <c r="B1516">
        <v>97</v>
      </c>
      <c r="C1516" t="s">
        <v>1969</v>
      </c>
      <c r="D1516" s="64">
        <f>VLOOKUP(C1516,'CHAS - Cook Co'!$C$1:$J$2762,2,FALSE) - VLOOKUP(C1516,'CHAS - Chicago'!$C$1:$J$2762,2,FALSE)</f>
        <v>2580</v>
      </c>
      <c r="E1516" t="s">
        <v>366</v>
      </c>
      <c r="F1516" s="71" t="s">
        <v>508</v>
      </c>
      <c r="G1516" s="71" t="s">
        <v>1895</v>
      </c>
      <c r="H1516" s="71" t="s">
        <v>397</v>
      </c>
      <c r="I1516" s="71" t="s">
        <v>1867</v>
      </c>
    </row>
    <row r="1517" spans="1:9" ht="43.5" x14ac:dyDescent="0.35">
      <c r="A1517">
        <v>10</v>
      </c>
      <c r="B1517">
        <v>98</v>
      </c>
      <c r="C1517" t="s">
        <v>1970</v>
      </c>
      <c r="D1517" s="64">
        <f>VLOOKUP(C1517,'CHAS - Cook Co'!$C$1:$J$2762,2,FALSE) - VLOOKUP(C1517,'CHAS - Chicago'!$C$1:$J$2762,2,FALSE)</f>
        <v>2095</v>
      </c>
      <c r="E1517" t="s">
        <v>373</v>
      </c>
      <c r="F1517" s="71" t="s">
        <v>508</v>
      </c>
      <c r="G1517" s="71" t="s">
        <v>1895</v>
      </c>
      <c r="H1517" s="71" t="s">
        <v>397</v>
      </c>
      <c r="I1517" s="71" t="s">
        <v>1873</v>
      </c>
    </row>
    <row r="1518" spans="1:9" ht="43.5" x14ac:dyDescent="0.35">
      <c r="A1518">
        <v>10</v>
      </c>
      <c r="B1518">
        <v>99</v>
      </c>
      <c r="C1518" t="s">
        <v>1971</v>
      </c>
      <c r="D1518" s="64">
        <f>VLOOKUP(C1518,'CHAS - Cook Co'!$C$1:$J$2762,2,FALSE) - VLOOKUP(C1518,'CHAS - Chicago'!$C$1:$J$2762,2,FALSE)</f>
        <v>475</v>
      </c>
      <c r="E1518" t="s">
        <v>373</v>
      </c>
      <c r="F1518" s="71" t="s">
        <v>508</v>
      </c>
      <c r="G1518" s="71" t="s">
        <v>1895</v>
      </c>
      <c r="H1518" s="71" t="s">
        <v>397</v>
      </c>
      <c r="I1518" s="71" t="s">
        <v>1875</v>
      </c>
    </row>
    <row r="1519" spans="1:9" ht="43.5" x14ac:dyDescent="0.35">
      <c r="A1519">
        <v>10</v>
      </c>
      <c r="B1519">
        <v>100</v>
      </c>
      <c r="C1519" t="s">
        <v>1972</v>
      </c>
      <c r="D1519" s="64">
        <f>VLOOKUP(C1519,'CHAS - Cook Co'!$C$1:$J$2762,2,FALSE) - VLOOKUP(C1519,'CHAS - Chicago'!$C$1:$J$2762,2,FALSE)</f>
        <v>10</v>
      </c>
      <c r="E1519" t="s">
        <v>373</v>
      </c>
      <c r="F1519" s="71" t="s">
        <v>508</v>
      </c>
      <c r="G1519" s="71" t="s">
        <v>1895</v>
      </c>
      <c r="H1519" s="71" t="s">
        <v>397</v>
      </c>
      <c r="I1519" s="71" t="s">
        <v>1877</v>
      </c>
    </row>
    <row r="1520" spans="1:9" ht="43.5" x14ac:dyDescent="0.35">
      <c r="A1520">
        <v>10</v>
      </c>
      <c r="B1520">
        <v>101</v>
      </c>
      <c r="C1520" t="s">
        <v>1973</v>
      </c>
      <c r="D1520" s="64">
        <f>VLOOKUP(C1520,'CHAS - Cook Co'!$C$1:$J$2762,2,FALSE) - VLOOKUP(C1520,'CHAS - Chicago'!$C$1:$J$2762,2,FALSE)</f>
        <v>910</v>
      </c>
      <c r="E1520" t="s">
        <v>366</v>
      </c>
      <c r="F1520" s="71" t="s">
        <v>508</v>
      </c>
      <c r="G1520" s="71" t="s">
        <v>1895</v>
      </c>
      <c r="H1520" s="71" t="s">
        <v>406</v>
      </c>
      <c r="I1520" s="71" t="s">
        <v>1867</v>
      </c>
    </row>
    <row r="1521" spans="1:9" ht="43.5" x14ac:dyDescent="0.35">
      <c r="A1521">
        <v>10</v>
      </c>
      <c r="B1521">
        <v>102</v>
      </c>
      <c r="C1521" t="s">
        <v>1974</v>
      </c>
      <c r="D1521" s="64">
        <f>VLOOKUP(C1521,'CHAS - Cook Co'!$C$1:$J$2762,2,FALSE) - VLOOKUP(C1521,'CHAS - Chicago'!$C$1:$J$2762,2,FALSE)</f>
        <v>720</v>
      </c>
      <c r="E1521" t="s">
        <v>373</v>
      </c>
      <c r="F1521" s="71" t="s">
        <v>508</v>
      </c>
      <c r="G1521" s="71" t="s">
        <v>1895</v>
      </c>
      <c r="H1521" s="71" t="s">
        <v>406</v>
      </c>
      <c r="I1521" s="71" t="s">
        <v>1873</v>
      </c>
    </row>
    <row r="1522" spans="1:9" ht="43.5" x14ac:dyDescent="0.35">
      <c r="A1522">
        <v>10</v>
      </c>
      <c r="B1522">
        <v>103</v>
      </c>
      <c r="C1522" t="s">
        <v>1975</v>
      </c>
      <c r="D1522" s="64">
        <f>VLOOKUP(C1522,'CHAS - Cook Co'!$C$1:$J$2762,2,FALSE) - VLOOKUP(C1522,'CHAS - Chicago'!$C$1:$J$2762,2,FALSE)</f>
        <v>190</v>
      </c>
      <c r="E1522" t="s">
        <v>373</v>
      </c>
      <c r="F1522" s="71" t="s">
        <v>508</v>
      </c>
      <c r="G1522" s="71" t="s">
        <v>1895</v>
      </c>
      <c r="H1522" s="71" t="s">
        <v>406</v>
      </c>
      <c r="I1522" s="71" t="s">
        <v>1875</v>
      </c>
    </row>
    <row r="1523" spans="1:9" ht="43.5" x14ac:dyDescent="0.35">
      <c r="A1523">
        <v>10</v>
      </c>
      <c r="B1523">
        <v>104</v>
      </c>
      <c r="C1523" t="s">
        <v>1976</v>
      </c>
      <c r="D1523" s="64">
        <f>VLOOKUP(C1523,'CHAS - Cook Co'!$C$1:$J$2762,2,FALSE) - VLOOKUP(C1523,'CHAS - Chicago'!$C$1:$J$2762,2,FALSE)</f>
        <v>0</v>
      </c>
      <c r="E1523" t="s">
        <v>373</v>
      </c>
      <c r="F1523" s="71" t="s">
        <v>508</v>
      </c>
      <c r="G1523" s="71" t="s">
        <v>1895</v>
      </c>
      <c r="H1523" s="71" t="s">
        <v>406</v>
      </c>
      <c r="I1523" s="71" t="s">
        <v>1877</v>
      </c>
    </row>
    <row r="1524" spans="1:9" ht="29" x14ac:dyDescent="0.35">
      <c r="A1524">
        <v>10</v>
      </c>
      <c r="B1524">
        <v>105</v>
      </c>
      <c r="C1524" t="s">
        <v>1977</v>
      </c>
      <c r="D1524" s="64">
        <f>VLOOKUP(C1524,'CHAS - Cook Co'!$C$1:$J$2762,2,FALSE) - VLOOKUP(C1524,'CHAS - Chicago'!$C$1:$J$2762,2,FALSE)</f>
        <v>1415</v>
      </c>
      <c r="E1524" t="s">
        <v>366</v>
      </c>
      <c r="F1524" s="71" t="s">
        <v>508</v>
      </c>
      <c r="G1524" s="71" t="s">
        <v>1895</v>
      </c>
      <c r="H1524" s="71" t="s">
        <v>415</v>
      </c>
      <c r="I1524" s="71" t="s">
        <v>1867</v>
      </c>
    </row>
    <row r="1525" spans="1:9" ht="29" x14ac:dyDescent="0.35">
      <c r="A1525">
        <v>10</v>
      </c>
      <c r="B1525">
        <v>106</v>
      </c>
      <c r="C1525" t="s">
        <v>1978</v>
      </c>
      <c r="D1525" s="64">
        <f>VLOOKUP(C1525,'CHAS - Cook Co'!$C$1:$J$2762,2,FALSE) - VLOOKUP(C1525,'CHAS - Chicago'!$C$1:$J$2762,2,FALSE)</f>
        <v>1020</v>
      </c>
      <c r="E1525" t="s">
        <v>373</v>
      </c>
      <c r="F1525" s="71" t="s">
        <v>508</v>
      </c>
      <c r="G1525" s="71" t="s">
        <v>1895</v>
      </c>
      <c r="H1525" s="71" t="s">
        <v>415</v>
      </c>
      <c r="I1525" s="71" t="s">
        <v>1873</v>
      </c>
    </row>
    <row r="1526" spans="1:9" ht="43.5" x14ac:dyDescent="0.35">
      <c r="A1526">
        <v>10</v>
      </c>
      <c r="B1526">
        <v>107</v>
      </c>
      <c r="C1526" t="s">
        <v>1979</v>
      </c>
      <c r="D1526" s="64">
        <f>VLOOKUP(C1526,'CHAS - Cook Co'!$C$1:$J$2762,2,FALSE) - VLOOKUP(C1526,'CHAS - Chicago'!$C$1:$J$2762,2,FALSE)</f>
        <v>285</v>
      </c>
      <c r="E1526" t="s">
        <v>373</v>
      </c>
      <c r="F1526" s="71" t="s">
        <v>508</v>
      </c>
      <c r="G1526" s="71" t="s">
        <v>1895</v>
      </c>
      <c r="H1526" s="71" t="s">
        <v>415</v>
      </c>
      <c r="I1526" s="71" t="s">
        <v>1875</v>
      </c>
    </row>
    <row r="1527" spans="1:9" ht="29" x14ac:dyDescent="0.35">
      <c r="A1527">
        <v>10</v>
      </c>
      <c r="B1527">
        <v>108</v>
      </c>
      <c r="C1527" t="s">
        <v>1980</v>
      </c>
      <c r="D1527" s="64">
        <f>VLOOKUP(C1527,'CHAS - Cook Co'!$C$1:$J$2762,2,FALSE) - VLOOKUP(C1527,'CHAS - Chicago'!$C$1:$J$2762,2,FALSE)</f>
        <v>115</v>
      </c>
      <c r="E1527" t="s">
        <v>373</v>
      </c>
      <c r="F1527" s="71" t="s">
        <v>508</v>
      </c>
      <c r="G1527" s="71" t="s">
        <v>1895</v>
      </c>
      <c r="H1527" s="71" t="s">
        <v>415</v>
      </c>
      <c r="I1527" s="71" t="s">
        <v>1877</v>
      </c>
    </row>
    <row r="1528" spans="1:9" x14ac:dyDescent="0.35">
      <c r="A1528">
        <v>10</v>
      </c>
      <c r="B1528">
        <v>109</v>
      </c>
      <c r="C1528" t="s">
        <v>1981</v>
      </c>
      <c r="D1528" s="64">
        <f>VLOOKUP(C1528,'CHAS - Cook Co'!$C$1:$J$2762,2,FALSE) - VLOOKUP(C1528,'CHAS - Chicago'!$C$1:$J$2762,2,FALSE)</f>
        <v>3675</v>
      </c>
      <c r="E1528" t="s">
        <v>366</v>
      </c>
      <c r="F1528" s="71" t="s">
        <v>508</v>
      </c>
      <c r="G1528" s="71" t="s">
        <v>1917</v>
      </c>
      <c r="H1528" s="71" t="s">
        <v>363</v>
      </c>
      <c r="I1528" s="71" t="s">
        <v>1867</v>
      </c>
    </row>
    <row r="1529" spans="1:9" ht="29" x14ac:dyDescent="0.35">
      <c r="A1529">
        <v>10</v>
      </c>
      <c r="B1529">
        <v>110</v>
      </c>
      <c r="C1529" t="s">
        <v>1982</v>
      </c>
      <c r="D1529" s="64">
        <f>VLOOKUP(C1529,'CHAS - Cook Co'!$C$1:$J$2762,2,FALSE) - VLOOKUP(C1529,'CHAS - Chicago'!$C$1:$J$2762,2,FALSE)</f>
        <v>1175</v>
      </c>
      <c r="E1529" t="s">
        <v>366</v>
      </c>
      <c r="F1529" s="71" t="s">
        <v>508</v>
      </c>
      <c r="G1529" s="71" t="s">
        <v>1917</v>
      </c>
      <c r="H1529" s="71" t="s">
        <v>371</v>
      </c>
      <c r="I1529" s="71" t="s">
        <v>1867</v>
      </c>
    </row>
    <row r="1530" spans="1:9" ht="29" x14ac:dyDescent="0.35">
      <c r="A1530">
        <v>10</v>
      </c>
      <c r="B1530">
        <v>111</v>
      </c>
      <c r="C1530" t="s">
        <v>1983</v>
      </c>
      <c r="D1530" s="64">
        <f>VLOOKUP(C1530,'CHAS - Cook Co'!$C$1:$J$2762,2,FALSE) - VLOOKUP(C1530,'CHAS - Chicago'!$C$1:$J$2762,2,FALSE)</f>
        <v>985</v>
      </c>
      <c r="E1530" t="s">
        <v>373</v>
      </c>
      <c r="F1530" s="71" t="s">
        <v>508</v>
      </c>
      <c r="G1530" s="71" t="s">
        <v>1917</v>
      </c>
      <c r="H1530" s="71" t="s">
        <v>371</v>
      </c>
      <c r="I1530" s="71" t="s">
        <v>1873</v>
      </c>
    </row>
    <row r="1531" spans="1:9" ht="43.5" x14ac:dyDescent="0.35">
      <c r="A1531">
        <v>10</v>
      </c>
      <c r="B1531">
        <v>112</v>
      </c>
      <c r="C1531" t="s">
        <v>1984</v>
      </c>
      <c r="D1531" s="64">
        <f>VLOOKUP(C1531,'CHAS - Cook Co'!$C$1:$J$2762,2,FALSE) - VLOOKUP(C1531,'CHAS - Chicago'!$C$1:$J$2762,2,FALSE)</f>
        <v>150</v>
      </c>
      <c r="E1531" t="s">
        <v>373</v>
      </c>
      <c r="F1531" s="71" t="s">
        <v>508</v>
      </c>
      <c r="G1531" s="71" t="s">
        <v>1917</v>
      </c>
      <c r="H1531" s="71" t="s">
        <v>371</v>
      </c>
      <c r="I1531" s="71" t="s">
        <v>1875</v>
      </c>
    </row>
    <row r="1532" spans="1:9" ht="29" x14ac:dyDescent="0.35">
      <c r="A1532">
        <v>10</v>
      </c>
      <c r="B1532">
        <v>113</v>
      </c>
      <c r="C1532" t="s">
        <v>1985</v>
      </c>
      <c r="D1532" s="64">
        <f>VLOOKUP(C1532,'CHAS - Cook Co'!$C$1:$J$2762,2,FALSE) - VLOOKUP(C1532,'CHAS - Chicago'!$C$1:$J$2762,2,FALSE)</f>
        <v>40</v>
      </c>
      <c r="E1532" t="s">
        <v>373</v>
      </c>
      <c r="F1532" s="71" t="s">
        <v>508</v>
      </c>
      <c r="G1532" s="71" t="s">
        <v>1917</v>
      </c>
      <c r="H1532" s="71" t="s">
        <v>371</v>
      </c>
      <c r="I1532" s="71" t="s">
        <v>1877</v>
      </c>
    </row>
    <row r="1533" spans="1:9" ht="43.5" x14ac:dyDescent="0.35">
      <c r="A1533">
        <v>10</v>
      </c>
      <c r="B1533">
        <v>114</v>
      </c>
      <c r="C1533" t="s">
        <v>1986</v>
      </c>
      <c r="D1533" s="64">
        <f>VLOOKUP(C1533,'CHAS - Cook Co'!$C$1:$J$2762,2,FALSE) - VLOOKUP(C1533,'CHAS - Chicago'!$C$1:$J$2762,2,FALSE)</f>
        <v>955</v>
      </c>
      <c r="E1533" t="s">
        <v>366</v>
      </c>
      <c r="F1533" s="71" t="s">
        <v>508</v>
      </c>
      <c r="G1533" s="71" t="s">
        <v>1917</v>
      </c>
      <c r="H1533" s="71" t="s">
        <v>388</v>
      </c>
      <c r="I1533" s="71" t="s">
        <v>1867</v>
      </c>
    </row>
    <row r="1534" spans="1:9" ht="43.5" x14ac:dyDescent="0.35">
      <c r="A1534">
        <v>10</v>
      </c>
      <c r="B1534">
        <v>115</v>
      </c>
      <c r="C1534" t="s">
        <v>1987</v>
      </c>
      <c r="D1534" s="64">
        <f>VLOOKUP(C1534,'CHAS - Cook Co'!$C$1:$J$2762,2,FALSE) - VLOOKUP(C1534,'CHAS - Chicago'!$C$1:$J$2762,2,FALSE)</f>
        <v>820</v>
      </c>
      <c r="E1534" t="s">
        <v>373</v>
      </c>
      <c r="F1534" s="71" t="s">
        <v>508</v>
      </c>
      <c r="G1534" s="71" t="s">
        <v>1917</v>
      </c>
      <c r="H1534" s="71" t="s">
        <v>388</v>
      </c>
      <c r="I1534" s="71" t="s">
        <v>1873</v>
      </c>
    </row>
    <row r="1535" spans="1:9" ht="43.5" x14ac:dyDescent="0.35">
      <c r="A1535">
        <v>10</v>
      </c>
      <c r="B1535">
        <v>116</v>
      </c>
      <c r="C1535" t="s">
        <v>1988</v>
      </c>
      <c r="D1535" s="64">
        <f>VLOOKUP(C1535,'CHAS - Cook Co'!$C$1:$J$2762,2,FALSE) - VLOOKUP(C1535,'CHAS - Chicago'!$C$1:$J$2762,2,FALSE)</f>
        <v>75</v>
      </c>
      <c r="E1535" t="s">
        <v>373</v>
      </c>
      <c r="F1535" s="71" t="s">
        <v>508</v>
      </c>
      <c r="G1535" s="71" t="s">
        <v>1917</v>
      </c>
      <c r="H1535" s="71" t="s">
        <v>388</v>
      </c>
      <c r="I1535" s="71" t="s">
        <v>1875</v>
      </c>
    </row>
    <row r="1536" spans="1:9" ht="43.5" x14ac:dyDescent="0.35">
      <c r="A1536">
        <v>10</v>
      </c>
      <c r="B1536">
        <v>117</v>
      </c>
      <c r="C1536" t="s">
        <v>1989</v>
      </c>
      <c r="D1536" s="64">
        <f>VLOOKUP(C1536,'CHAS - Cook Co'!$C$1:$J$2762,2,FALSE) - VLOOKUP(C1536,'CHAS - Chicago'!$C$1:$J$2762,2,FALSE)</f>
        <v>60</v>
      </c>
      <c r="E1536" t="s">
        <v>373</v>
      </c>
      <c r="F1536" s="71" t="s">
        <v>508</v>
      </c>
      <c r="G1536" s="71" t="s">
        <v>1917</v>
      </c>
      <c r="H1536" s="71" t="s">
        <v>388</v>
      </c>
      <c r="I1536" s="71" t="s">
        <v>1877</v>
      </c>
    </row>
    <row r="1537" spans="1:9" ht="43.5" x14ac:dyDescent="0.35">
      <c r="A1537">
        <v>10</v>
      </c>
      <c r="B1537">
        <v>118</v>
      </c>
      <c r="C1537" t="s">
        <v>1990</v>
      </c>
      <c r="D1537" s="64">
        <f>VLOOKUP(C1537,'CHAS - Cook Co'!$C$1:$J$2762,2,FALSE) - VLOOKUP(C1537,'CHAS - Chicago'!$C$1:$J$2762,2,FALSE)</f>
        <v>805</v>
      </c>
      <c r="E1537" t="s">
        <v>366</v>
      </c>
      <c r="F1537" s="71" t="s">
        <v>508</v>
      </c>
      <c r="G1537" s="71" t="s">
        <v>1917</v>
      </c>
      <c r="H1537" s="71" t="s">
        <v>397</v>
      </c>
      <c r="I1537" s="71" t="s">
        <v>1867</v>
      </c>
    </row>
    <row r="1538" spans="1:9" ht="43.5" x14ac:dyDescent="0.35">
      <c r="A1538">
        <v>10</v>
      </c>
      <c r="B1538">
        <v>119</v>
      </c>
      <c r="C1538" t="s">
        <v>1991</v>
      </c>
      <c r="D1538" s="64">
        <f>VLOOKUP(C1538,'CHAS - Cook Co'!$C$1:$J$2762,2,FALSE) - VLOOKUP(C1538,'CHAS - Chicago'!$C$1:$J$2762,2,FALSE)</f>
        <v>675</v>
      </c>
      <c r="E1538" t="s">
        <v>373</v>
      </c>
      <c r="F1538" s="71" t="s">
        <v>508</v>
      </c>
      <c r="G1538" s="71" t="s">
        <v>1917</v>
      </c>
      <c r="H1538" s="71" t="s">
        <v>397</v>
      </c>
      <c r="I1538" s="71" t="s">
        <v>1873</v>
      </c>
    </row>
    <row r="1539" spans="1:9" ht="43.5" x14ac:dyDescent="0.35">
      <c r="A1539">
        <v>10</v>
      </c>
      <c r="B1539">
        <v>120</v>
      </c>
      <c r="C1539" t="s">
        <v>1992</v>
      </c>
      <c r="D1539" s="64">
        <f>VLOOKUP(C1539,'CHAS - Cook Co'!$C$1:$J$2762,2,FALSE) - VLOOKUP(C1539,'CHAS - Chicago'!$C$1:$J$2762,2,FALSE)</f>
        <v>75</v>
      </c>
      <c r="E1539" t="s">
        <v>373</v>
      </c>
      <c r="F1539" s="71" t="s">
        <v>508</v>
      </c>
      <c r="G1539" s="71" t="s">
        <v>1917</v>
      </c>
      <c r="H1539" s="71" t="s">
        <v>397</v>
      </c>
      <c r="I1539" s="71" t="s">
        <v>1875</v>
      </c>
    </row>
    <row r="1540" spans="1:9" ht="43.5" x14ac:dyDescent="0.35">
      <c r="A1540">
        <v>10</v>
      </c>
      <c r="B1540">
        <v>121</v>
      </c>
      <c r="C1540" t="s">
        <v>1993</v>
      </c>
      <c r="D1540" s="64">
        <f>VLOOKUP(C1540,'CHAS - Cook Co'!$C$1:$J$2762,2,FALSE) - VLOOKUP(C1540,'CHAS - Chicago'!$C$1:$J$2762,2,FALSE)</f>
        <v>55</v>
      </c>
      <c r="E1540" t="s">
        <v>373</v>
      </c>
      <c r="F1540" s="71" t="s">
        <v>508</v>
      </c>
      <c r="G1540" s="71" t="s">
        <v>1917</v>
      </c>
      <c r="H1540" s="71" t="s">
        <v>397</v>
      </c>
      <c r="I1540" s="71" t="s">
        <v>1877</v>
      </c>
    </row>
    <row r="1541" spans="1:9" ht="43.5" x14ac:dyDescent="0.35">
      <c r="A1541">
        <v>10</v>
      </c>
      <c r="B1541">
        <v>122</v>
      </c>
      <c r="C1541" t="s">
        <v>1994</v>
      </c>
      <c r="D1541" s="64">
        <f>VLOOKUP(C1541,'CHAS - Cook Co'!$C$1:$J$2762,2,FALSE) - VLOOKUP(C1541,'CHAS - Chicago'!$C$1:$J$2762,2,FALSE)</f>
        <v>245</v>
      </c>
      <c r="E1541" t="s">
        <v>366</v>
      </c>
      <c r="F1541" s="71" t="s">
        <v>508</v>
      </c>
      <c r="G1541" s="71" t="s">
        <v>1917</v>
      </c>
      <c r="H1541" s="71" t="s">
        <v>406</v>
      </c>
      <c r="I1541" s="71" t="s">
        <v>1867</v>
      </c>
    </row>
    <row r="1542" spans="1:9" ht="43.5" x14ac:dyDescent="0.35">
      <c r="A1542">
        <v>10</v>
      </c>
      <c r="B1542">
        <v>123</v>
      </c>
      <c r="C1542" t="s">
        <v>1995</v>
      </c>
      <c r="D1542" s="64">
        <f>VLOOKUP(C1542,'CHAS - Cook Co'!$C$1:$J$2762,2,FALSE) - VLOOKUP(C1542,'CHAS - Chicago'!$C$1:$J$2762,2,FALSE)</f>
        <v>195</v>
      </c>
      <c r="E1542" t="s">
        <v>373</v>
      </c>
      <c r="F1542" s="71" t="s">
        <v>508</v>
      </c>
      <c r="G1542" s="71" t="s">
        <v>1917</v>
      </c>
      <c r="H1542" s="71" t="s">
        <v>406</v>
      </c>
      <c r="I1542" s="71" t="s">
        <v>1873</v>
      </c>
    </row>
    <row r="1543" spans="1:9" ht="43.5" x14ac:dyDescent="0.35">
      <c r="A1543">
        <v>10</v>
      </c>
      <c r="B1543">
        <v>124</v>
      </c>
      <c r="C1543" t="s">
        <v>1996</v>
      </c>
      <c r="D1543" s="64">
        <f>VLOOKUP(C1543,'CHAS - Cook Co'!$C$1:$J$2762,2,FALSE) - VLOOKUP(C1543,'CHAS - Chicago'!$C$1:$J$2762,2,FALSE)</f>
        <v>0</v>
      </c>
      <c r="E1543" t="s">
        <v>373</v>
      </c>
      <c r="F1543" s="71" t="s">
        <v>508</v>
      </c>
      <c r="G1543" s="71" t="s">
        <v>1917</v>
      </c>
      <c r="H1543" s="71" t="s">
        <v>406</v>
      </c>
      <c r="I1543" s="71" t="s">
        <v>1875</v>
      </c>
    </row>
    <row r="1544" spans="1:9" ht="43.5" x14ac:dyDescent="0.35">
      <c r="A1544">
        <v>10</v>
      </c>
      <c r="B1544">
        <v>125</v>
      </c>
      <c r="C1544" t="s">
        <v>1997</v>
      </c>
      <c r="D1544" s="64">
        <f>VLOOKUP(C1544,'CHAS - Cook Co'!$C$1:$J$2762,2,FALSE) - VLOOKUP(C1544,'CHAS - Chicago'!$C$1:$J$2762,2,FALSE)</f>
        <v>45</v>
      </c>
      <c r="E1544" t="s">
        <v>373</v>
      </c>
      <c r="F1544" s="71" t="s">
        <v>508</v>
      </c>
      <c r="G1544" s="71" t="s">
        <v>1917</v>
      </c>
      <c r="H1544" s="71" t="s">
        <v>406</v>
      </c>
      <c r="I1544" s="71" t="s">
        <v>1877</v>
      </c>
    </row>
    <row r="1545" spans="1:9" ht="29" x14ac:dyDescent="0.35">
      <c r="A1545">
        <v>10</v>
      </c>
      <c r="B1545">
        <v>126</v>
      </c>
      <c r="C1545" t="s">
        <v>1998</v>
      </c>
      <c r="D1545" s="64">
        <f>VLOOKUP(C1545,'CHAS - Cook Co'!$C$1:$J$2762,2,FALSE) - VLOOKUP(C1545,'CHAS - Chicago'!$C$1:$J$2762,2,FALSE)</f>
        <v>500</v>
      </c>
      <c r="E1545" t="s">
        <v>366</v>
      </c>
      <c r="F1545" s="71" t="s">
        <v>508</v>
      </c>
      <c r="G1545" s="71" t="s">
        <v>1917</v>
      </c>
      <c r="H1545" s="71" t="s">
        <v>415</v>
      </c>
      <c r="I1545" s="71" t="s">
        <v>1867</v>
      </c>
    </row>
    <row r="1546" spans="1:9" ht="29" x14ac:dyDescent="0.35">
      <c r="A1546">
        <v>10</v>
      </c>
      <c r="B1546">
        <v>127</v>
      </c>
      <c r="C1546" t="s">
        <v>1999</v>
      </c>
      <c r="D1546" s="64">
        <f>VLOOKUP(C1546,'CHAS - Cook Co'!$C$1:$J$2762,2,FALSE) - VLOOKUP(C1546,'CHAS - Chicago'!$C$1:$J$2762,2,FALSE)</f>
        <v>240</v>
      </c>
      <c r="E1546" t="s">
        <v>373</v>
      </c>
      <c r="F1546" s="71" t="s">
        <v>508</v>
      </c>
      <c r="G1546" s="71" t="s">
        <v>1917</v>
      </c>
      <c r="H1546" s="71" t="s">
        <v>415</v>
      </c>
      <c r="I1546" s="71" t="s">
        <v>1873</v>
      </c>
    </row>
    <row r="1547" spans="1:9" ht="43.5" x14ac:dyDescent="0.35">
      <c r="A1547">
        <v>10</v>
      </c>
      <c r="B1547">
        <v>128</v>
      </c>
      <c r="C1547" t="s">
        <v>2000</v>
      </c>
      <c r="D1547" s="64">
        <f>VLOOKUP(C1547,'CHAS - Cook Co'!$C$1:$J$2762,2,FALSE) - VLOOKUP(C1547,'CHAS - Chicago'!$C$1:$J$2762,2,FALSE)</f>
        <v>160</v>
      </c>
      <c r="E1547" t="s">
        <v>373</v>
      </c>
      <c r="F1547" s="71" t="s">
        <v>508</v>
      </c>
      <c r="G1547" s="71" t="s">
        <v>1917</v>
      </c>
      <c r="H1547" s="71" t="s">
        <v>415</v>
      </c>
      <c r="I1547" s="71" t="s">
        <v>1875</v>
      </c>
    </row>
    <row r="1548" spans="1:9" ht="29" x14ac:dyDescent="0.35">
      <c r="A1548">
        <v>10</v>
      </c>
      <c r="B1548">
        <v>129</v>
      </c>
      <c r="C1548" t="s">
        <v>2001</v>
      </c>
      <c r="D1548" s="64">
        <f>VLOOKUP(C1548,'CHAS - Cook Co'!$C$1:$J$2762,2,FALSE) - VLOOKUP(C1548,'CHAS - Chicago'!$C$1:$J$2762,2,FALSE)</f>
        <v>105</v>
      </c>
      <c r="E1548" t="s">
        <v>373</v>
      </c>
      <c r="F1548" s="71" t="s">
        <v>508</v>
      </c>
      <c r="G1548" s="71" t="s">
        <v>1917</v>
      </c>
      <c r="H1548" s="71" t="s">
        <v>415</v>
      </c>
      <c r="I1548" s="71" t="s">
        <v>1877</v>
      </c>
    </row>
    <row r="1549" spans="1:9" ht="29" x14ac:dyDescent="0.35">
      <c r="A1549">
        <v>11</v>
      </c>
      <c r="B1549">
        <v>1</v>
      </c>
      <c r="C1549" t="s">
        <v>2002</v>
      </c>
      <c r="D1549" s="64">
        <f>VLOOKUP(C1549,'CHAS - Cook Co'!$C$1:$J$2762,2,FALSE) - VLOOKUP(C1549,'CHAS - Chicago'!$C$1:$J$2762,2,FALSE)</f>
        <v>909025</v>
      </c>
      <c r="E1549" t="s">
        <v>26</v>
      </c>
      <c r="F1549" s="71" t="s">
        <v>361</v>
      </c>
      <c r="G1549" s="71" t="s">
        <v>362</v>
      </c>
      <c r="H1549" s="71" t="s">
        <v>363</v>
      </c>
    </row>
    <row r="1550" spans="1:9" x14ac:dyDescent="0.35">
      <c r="A1550">
        <v>11</v>
      </c>
      <c r="B1550">
        <v>2</v>
      </c>
      <c r="C1550" t="s">
        <v>2003</v>
      </c>
      <c r="D1550" s="64">
        <f>VLOOKUP(C1550,'CHAS - Cook Co'!$C$1:$J$2762,2,FALSE) - VLOOKUP(C1550,'CHAS - Chicago'!$C$1:$J$2762,2,FALSE)</f>
        <v>645280</v>
      </c>
      <c r="E1550" t="s">
        <v>366</v>
      </c>
      <c r="F1550" s="71" t="s">
        <v>367</v>
      </c>
      <c r="G1550" s="71" t="s">
        <v>362</v>
      </c>
      <c r="H1550" s="71" t="s">
        <v>363</v>
      </c>
    </row>
    <row r="1551" spans="1:9" ht="29" x14ac:dyDescent="0.35">
      <c r="A1551">
        <v>11</v>
      </c>
      <c r="B1551">
        <v>3</v>
      </c>
      <c r="C1551" t="s">
        <v>2004</v>
      </c>
      <c r="D1551" s="64">
        <f>VLOOKUP(C1551,'CHAS - Cook Co'!$C$1:$J$2762,2,FALSE) - VLOOKUP(C1551,'CHAS - Chicago'!$C$1:$J$2762,2,FALSE)</f>
        <v>203985</v>
      </c>
      <c r="E1551" t="s">
        <v>366</v>
      </c>
      <c r="F1551" s="71" t="s">
        <v>367</v>
      </c>
      <c r="G1551" s="71" t="s">
        <v>2005</v>
      </c>
      <c r="H1551" s="71" t="s">
        <v>363</v>
      </c>
    </row>
    <row r="1552" spans="1:9" ht="29" x14ac:dyDescent="0.35">
      <c r="A1552">
        <v>11</v>
      </c>
      <c r="B1552">
        <v>4</v>
      </c>
      <c r="C1552" t="s">
        <v>2006</v>
      </c>
      <c r="D1552" s="64">
        <f>VLOOKUP(C1552,'CHAS - Cook Co'!$C$1:$J$2762,2,FALSE) - VLOOKUP(C1552,'CHAS - Chicago'!$C$1:$J$2762,2,FALSE)</f>
        <v>21975</v>
      </c>
      <c r="E1552" t="s">
        <v>373</v>
      </c>
      <c r="F1552" s="71" t="s">
        <v>367</v>
      </c>
      <c r="G1552" s="71" t="s">
        <v>2005</v>
      </c>
      <c r="H1552" s="71" t="s">
        <v>2007</v>
      </c>
    </row>
    <row r="1553" spans="1:8" ht="43.5" x14ac:dyDescent="0.35">
      <c r="A1553">
        <v>11</v>
      </c>
      <c r="B1553">
        <v>5</v>
      </c>
      <c r="C1553" t="s">
        <v>2008</v>
      </c>
      <c r="D1553" s="64">
        <f>VLOOKUP(C1553,'CHAS - Cook Co'!$C$1:$J$2762,2,FALSE) - VLOOKUP(C1553,'CHAS - Chicago'!$C$1:$J$2762,2,FALSE)</f>
        <v>23660</v>
      </c>
      <c r="E1553" t="s">
        <v>373</v>
      </c>
      <c r="F1553" s="71" t="s">
        <v>367</v>
      </c>
      <c r="G1553" s="71" t="s">
        <v>2005</v>
      </c>
      <c r="H1553" s="71" t="s">
        <v>2009</v>
      </c>
    </row>
    <row r="1554" spans="1:8" ht="43.5" x14ac:dyDescent="0.35">
      <c r="A1554">
        <v>11</v>
      </c>
      <c r="B1554">
        <v>6</v>
      </c>
      <c r="C1554" t="s">
        <v>2010</v>
      </c>
      <c r="D1554" s="64">
        <f>VLOOKUP(C1554,'CHAS - Cook Co'!$C$1:$J$2762,2,FALSE) - VLOOKUP(C1554,'CHAS - Chicago'!$C$1:$J$2762,2,FALSE)</f>
        <v>24410</v>
      </c>
      <c r="E1554" t="s">
        <v>373</v>
      </c>
      <c r="F1554" s="71" t="s">
        <v>367</v>
      </c>
      <c r="G1554" s="71" t="s">
        <v>2005</v>
      </c>
      <c r="H1554" s="71" t="s">
        <v>2011</v>
      </c>
    </row>
    <row r="1555" spans="1:8" ht="43.5" x14ac:dyDescent="0.35">
      <c r="A1555">
        <v>11</v>
      </c>
      <c r="B1555">
        <v>7</v>
      </c>
      <c r="C1555" t="s">
        <v>2012</v>
      </c>
      <c r="D1555" s="64">
        <f>VLOOKUP(C1555,'CHAS - Cook Co'!$C$1:$J$2762,2,FALSE) - VLOOKUP(C1555,'CHAS - Chicago'!$C$1:$J$2762,2,FALSE)</f>
        <v>22430</v>
      </c>
      <c r="E1555" t="s">
        <v>373</v>
      </c>
      <c r="F1555" s="71" t="s">
        <v>367</v>
      </c>
      <c r="G1555" s="71" t="s">
        <v>2005</v>
      </c>
      <c r="H1555" s="71" t="s">
        <v>2013</v>
      </c>
    </row>
    <row r="1556" spans="1:8" ht="43.5" x14ac:dyDescent="0.35">
      <c r="A1556">
        <v>11</v>
      </c>
      <c r="B1556">
        <v>8</v>
      </c>
      <c r="C1556" t="s">
        <v>2014</v>
      </c>
      <c r="D1556" s="64">
        <f>VLOOKUP(C1556,'CHAS - Cook Co'!$C$1:$J$2762,2,FALSE) - VLOOKUP(C1556,'CHAS - Chicago'!$C$1:$J$2762,2,FALSE)</f>
        <v>19340</v>
      </c>
      <c r="E1556" t="s">
        <v>373</v>
      </c>
      <c r="F1556" s="71" t="s">
        <v>367</v>
      </c>
      <c r="G1556" s="71" t="s">
        <v>2005</v>
      </c>
      <c r="H1556" s="71" t="s">
        <v>2015</v>
      </c>
    </row>
    <row r="1557" spans="1:8" ht="43.5" x14ac:dyDescent="0.35">
      <c r="A1557">
        <v>11</v>
      </c>
      <c r="B1557">
        <v>9</v>
      </c>
      <c r="C1557" t="s">
        <v>2016</v>
      </c>
      <c r="D1557" s="64">
        <f>VLOOKUP(C1557,'CHAS - Cook Co'!$C$1:$J$2762,2,FALSE) - VLOOKUP(C1557,'CHAS - Chicago'!$C$1:$J$2762,2,FALSE)</f>
        <v>8975</v>
      </c>
      <c r="E1557" t="s">
        <v>373</v>
      </c>
      <c r="F1557" s="71" t="s">
        <v>367</v>
      </c>
      <c r="G1557" s="71" t="s">
        <v>2005</v>
      </c>
      <c r="H1557" s="71" t="s">
        <v>2017</v>
      </c>
    </row>
    <row r="1558" spans="1:8" ht="43.5" x14ac:dyDescent="0.35">
      <c r="A1558">
        <v>11</v>
      </c>
      <c r="B1558">
        <v>10</v>
      </c>
      <c r="C1558" t="s">
        <v>2018</v>
      </c>
      <c r="D1558" s="64">
        <f>VLOOKUP(C1558,'CHAS - Cook Co'!$C$1:$J$2762,2,FALSE) - VLOOKUP(C1558,'CHAS - Chicago'!$C$1:$J$2762,2,FALSE)</f>
        <v>23490</v>
      </c>
      <c r="E1558" t="s">
        <v>373</v>
      </c>
      <c r="F1558" s="71" t="s">
        <v>367</v>
      </c>
      <c r="G1558" s="71" t="s">
        <v>2005</v>
      </c>
      <c r="H1558" s="71" t="s">
        <v>2019</v>
      </c>
    </row>
    <row r="1559" spans="1:8" ht="43.5" x14ac:dyDescent="0.35">
      <c r="A1559">
        <v>11</v>
      </c>
      <c r="B1559">
        <v>11</v>
      </c>
      <c r="C1559" t="s">
        <v>2020</v>
      </c>
      <c r="D1559" s="64">
        <f>VLOOKUP(C1559,'CHAS - Cook Co'!$C$1:$J$2762,2,FALSE) - VLOOKUP(C1559,'CHAS - Chicago'!$C$1:$J$2762,2,FALSE)</f>
        <v>18195</v>
      </c>
      <c r="E1559" t="s">
        <v>373</v>
      </c>
      <c r="F1559" s="71" t="s">
        <v>367</v>
      </c>
      <c r="G1559" s="71" t="s">
        <v>2005</v>
      </c>
      <c r="H1559" s="71" t="s">
        <v>2021</v>
      </c>
    </row>
    <row r="1560" spans="1:8" ht="43.5" x14ac:dyDescent="0.35">
      <c r="A1560">
        <v>11</v>
      </c>
      <c r="B1560">
        <v>12</v>
      </c>
      <c r="C1560" t="s">
        <v>2022</v>
      </c>
      <c r="D1560" s="64">
        <f>VLOOKUP(C1560,'CHAS - Cook Co'!$C$1:$J$2762,2,FALSE) - VLOOKUP(C1560,'CHAS - Chicago'!$C$1:$J$2762,2,FALSE)</f>
        <v>4775</v>
      </c>
      <c r="E1560" t="s">
        <v>373</v>
      </c>
      <c r="F1560" s="71" t="s">
        <v>367</v>
      </c>
      <c r="G1560" s="71" t="s">
        <v>2005</v>
      </c>
      <c r="H1560" s="71" t="s">
        <v>2023</v>
      </c>
    </row>
    <row r="1561" spans="1:8" ht="43.5" x14ac:dyDescent="0.35">
      <c r="A1561">
        <v>11</v>
      </c>
      <c r="B1561">
        <v>13</v>
      </c>
      <c r="C1561" t="s">
        <v>2024</v>
      </c>
      <c r="D1561" s="64">
        <f>VLOOKUP(C1561,'CHAS - Cook Co'!$C$1:$J$2762,2,FALSE) - VLOOKUP(C1561,'CHAS - Chicago'!$C$1:$J$2762,2,FALSE)</f>
        <v>10935</v>
      </c>
      <c r="E1561" t="s">
        <v>373</v>
      </c>
      <c r="F1561" s="71" t="s">
        <v>367</v>
      </c>
      <c r="G1561" s="71" t="s">
        <v>2005</v>
      </c>
      <c r="H1561" s="71" t="s">
        <v>2025</v>
      </c>
    </row>
    <row r="1562" spans="1:8" ht="43.5" x14ac:dyDescent="0.35">
      <c r="A1562">
        <v>11</v>
      </c>
      <c r="B1562">
        <v>14</v>
      </c>
      <c r="C1562" t="s">
        <v>2026</v>
      </c>
      <c r="D1562" s="64">
        <f>VLOOKUP(C1562,'CHAS - Cook Co'!$C$1:$J$2762,2,FALSE) - VLOOKUP(C1562,'CHAS - Chicago'!$C$1:$J$2762,2,FALSE)</f>
        <v>3150</v>
      </c>
      <c r="E1562" t="s">
        <v>373</v>
      </c>
      <c r="F1562" s="71" t="s">
        <v>367</v>
      </c>
      <c r="G1562" s="71" t="s">
        <v>2005</v>
      </c>
      <c r="H1562" s="71" t="s">
        <v>2027</v>
      </c>
    </row>
    <row r="1563" spans="1:8" ht="43.5" x14ac:dyDescent="0.35">
      <c r="A1563">
        <v>11</v>
      </c>
      <c r="B1563">
        <v>15</v>
      </c>
      <c r="C1563" t="s">
        <v>2028</v>
      </c>
      <c r="D1563" s="64">
        <f>VLOOKUP(C1563,'CHAS - Cook Co'!$C$1:$J$2762,2,FALSE) - VLOOKUP(C1563,'CHAS - Chicago'!$C$1:$J$2762,2,FALSE)</f>
        <v>8490</v>
      </c>
      <c r="E1563" t="s">
        <v>373</v>
      </c>
      <c r="F1563" s="71" t="s">
        <v>367</v>
      </c>
      <c r="G1563" s="71" t="s">
        <v>2005</v>
      </c>
      <c r="H1563" s="71" t="s">
        <v>2029</v>
      </c>
    </row>
    <row r="1564" spans="1:8" ht="29" x14ac:dyDescent="0.35">
      <c r="A1564">
        <v>11</v>
      </c>
      <c r="B1564">
        <v>16</v>
      </c>
      <c r="C1564" t="s">
        <v>2030</v>
      </c>
      <c r="D1564" s="64">
        <f>VLOOKUP(C1564,'CHAS - Cook Co'!$C$1:$J$2762,2,FALSE) - VLOOKUP(C1564,'CHAS - Chicago'!$C$1:$J$2762,2,FALSE)</f>
        <v>14160</v>
      </c>
      <c r="E1564" t="s">
        <v>373</v>
      </c>
      <c r="F1564" s="71" t="s">
        <v>367</v>
      </c>
      <c r="G1564" s="71" t="s">
        <v>2005</v>
      </c>
      <c r="H1564" s="71" t="s">
        <v>2031</v>
      </c>
    </row>
    <row r="1565" spans="1:8" ht="29" x14ac:dyDescent="0.35">
      <c r="A1565">
        <v>11</v>
      </c>
      <c r="B1565">
        <v>17</v>
      </c>
      <c r="C1565" t="s">
        <v>2032</v>
      </c>
      <c r="D1565" s="64">
        <f>VLOOKUP(C1565,'CHAS - Cook Co'!$C$1:$J$2762,2,FALSE) - VLOOKUP(C1565,'CHAS - Chicago'!$C$1:$J$2762,2,FALSE)</f>
        <v>435775</v>
      </c>
      <c r="E1565" t="s">
        <v>366</v>
      </c>
      <c r="F1565" s="71" t="s">
        <v>367</v>
      </c>
      <c r="G1565" s="71" t="s">
        <v>2033</v>
      </c>
      <c r="H1565" s="71" t="s">
        <v>363</v>
      </c>
    </row>
    <row r="1566" spans="1:8" ht="29" x14ac:dyDescent="0.35">
      <c r="A1566">
        <v>11</v>
      </c>
      <c r="B1566">
        <v>18</v>
      </c>
      <c r="C1566" t="s">
        <v>2034</v>
      </c>
      <c r="D1566" s="64">
        <f>VLOOKUP(C1566,'CHAS - Cook Co'!$C$1:$J$2762,2,FALSE) - VLOOKUP(C1566,'CHAS - Chicago'!$C$1:$J$2762,2,FALSE)</f>
        <v>760</v>
      </c>
      <c r="E1566" t="s">
        <v>373</v>
      </c>
      <c r="F1566" s="71" t="s">
        <v>367</v>
      </c>
      <c r="G1566" s="71" t="s">
        <v>2033</v>
      </c>
      <c r="H1566" s="71" t="s">
        <v>2007</v>
      </c>
    </row>
    <row r="1567" spans="1:8" ht="43.5" x14ac:dyDescent="0.35">
      <c r="A1567">
        <v>11</v>
      </c>
      <c r="B1567">
        <v>19</v>
      </c>
      <c r="C1567" t="s">
        <v>2035</v>
      </c>
      <c r="D1567" s="64">
        <f>VLOOKUP(C1567,'CHAS - Cook Co'!$C$1:$J$2762,2,FALSE) - VLOOKUP(C1567,'CHAS - Chicago'!$C$1:$J$2762,2,FALSE)</f>
        <v>3325</v>
      </c>
      <c r="E1567" t="s">
        <v>373</v>
      </c>
      <c r="F1567" s="71" t="s">
        <v>367</v>
      </c>
      <c r="G1567" s="71" t="s">
        <v>2033</v>
      </c>
      <c r="H1567" s="71" t="s">
        <v>2009</v>
      </c>
    </row>
    <row r="1568" spans="1:8" ht="43.5" x14ac:dyDescent="0.35">
      <c r="A1568">
        <v>11</v>
      </c>
      <c r="B1568">
        <v>20</v>
      </c>
      <c r="C1568" t="s">
        <v>2036</v>
      </c>
      <c r="D1568" s="64">
        <f>VLOOKUP(C1568,'CHAS - Cook Co'!$C$1:$J$2762,2,FALSE) - VLOOKUP(C1568,'CHAS - Chicago'!$C$1:$J$2762,2,FALSE)</f>
        <v>7960</v>
      </c>
      <c r="E1568" t="s">
        <v>373</v>
      </c>
      <c r="F1568" s="71" t="s">
        <v>367</v>
      </c>
      <c r="G1568" s="71" t="s">
        <v>2033</v>
      </c>
      <c r="H1568" s="71" t="s">
        <v>2011</v>
      </c>
    </row>
    <row r="1569" spans="1:8" ht="43.5" x14ac:dyDescent="0.35">
      <c r="A1569">
        <v>11</v>
      </c>
      <c r="B1569">
        <v>21</v>
      </c>
      <c r="C1569" t="s">
        <v>2037</v>
      </c>
      <c r="D1569" s="64">
        <f>VLOOKUP(C1569,'CHAS - Cook Co'!$C$1:$J$2762,2,FALSE) - VLOOKUP(C1569,'CHAS - Chicago'!$C$1:$J$2762,2,FALSE)</f>
        <v>11530</v>
      </c>
      <c r="E1569" t="s">
        <v>373</v>
      </c>
      <c r="F1569" s="71" t="s">
        <v>367</v>
      </c>
      <c r="G1569" s="71" t="s">
        <v>2033</v>
      </c>
      <c r="H1569" s="71" t="s">
        <v>2013</v>
      </c>
    </row>
    <row r="1570" spans="1:8" ht="43.5" x14ac:dyDescent="0.35">
      <c r="A1570">
        <v>11</v>
      </c>
      <c r="B1570">
        <v>22</v>
      </c>
      <c r="C1570" t="s">
        <v>2038</v>
      </c>
      <c r="D1570" s="64">
        <f>VLOOKUP(C1570,'CHAS - Cook Co'!$C$1:$J$2762,2,FALSE) - VLOOKUP(C1570,'CHAS - Chicago'!$C$1:$J$2762,2,FALSE)</f>
        <v>15085</v>
      </c>
      <c r="E1570" t="s">
        <v>373</v>
      </c>
      <c r="F1570" s="71" t="s">
        <v>367</v>
      </c>
      <c r="G1570" s="71" t="s">
        <v>2033</v>
      </c>
      <c r="H1570" s="71" t="s">
        <v>2015</v>
      </c>
    </row>
    <row r="1571" spans="1:8" ht="43.5" x14ac:dyDescent="0.35">
      <c r="A1571">
        <v>11</v>
      </c>
      <c r="B1571">
        <v>23</v>
      </c>
      <c r="C1571" t="s">
        <v>2039</v>
      </c>
      <c r="D1571" s="64">
        <f>VLOOKUP(C1571,'CHAS - Cook Co'!$C$1:$J$2762,2,FALSE) - VLOOKUP(C1571,'CHAS - Chicago'!$C$1:$J$2762,2,FALSE)</f>
        <v>8810</v>
      </c>
      <c r="E1571" t="s">
        <v>373</v>
      </c>
      <c r="F1571" s="71" t="s">
        <v>367</v>
      </c>
      <c r="G1571" s="71" t="s">
        <v>2033</v>
      </c>
      <c r="H1571" s="71" t="s">
        <v>2017</v>
      </c>
    </row>
    <row r="1572" spans="1:8" ht="43.5" x14ac:dyDescent="0.35">
      <c r="A1572">
        <v>11</v>
      </c>
      <c r="B1572">
        <v>24</v>
      </c>
      <c r="C1572" t="s">
        <v>2040</v>
      </c>
      <c r="D1572" s="64">
        <f>VLOOKUP(C1572,'CHAS - Cook Co'!$C$1:$J$2762,2,FALSE) - VLOOKUP(C1572,'CHAS - Chicago'!$C$1:$J$2762,2,FALSE)</f>
        <v>27190</v>
      </c>
      <c r="E1572" t="s">
        <v>373</v>
      </c>
      <c r="F1572" s="71" t="s">
        <v>367</v>
      </c>
      <c r="G1572" s="71" t="s">
        <v>2033</v>
      </c>
      <c r="H1572" s="71" t="s">
        <v>2019</v>
      </c>
    </row>
    <row r="1573" spans="1:8" ht="43.5" x14ac:dyDescent="0.35">
      <c r="A1573">
        <v>11</v>
      </c>
      <c r="B1573">
        <v>25</v>
      </c>
      <c r="C1573" t="s">
        <v>2041</v>
      </c>
      <c r="D1573" s="64">
        <f>VLOOKUP(C1573,'CHAS - Cook Co'!$C$1:$J$2762,2,FALSE) - VLOOKUP(C1573,'CHAS - Chicago'!$C$1:$J$2762,2,FALSE)</f>
        <v>35025</v>
      </c>
      <c r="E1573" t="s">
        <v>373</v>
      </c>
      <c r="F1573" s="71" t="s">
        <v>367</v>
      </c>
      <c r="G1573" s="71" t="s">
        <v>2033</v>
      </c>
      <c r="H1573" s="71" t="s">
        <v>2021</v>
      </c>
    </row>
    <row r="1574" spans="1:8" ht="43.5" x14ac:dyDescent="0.35">
      <c r="A1574">
        <v>11</v>
      </c>
      <c r="B1574">
        <v>26</v>
      </c>
      <c r="C1574" t="s">
        <v>2042</v>
      </c>
      <c r="D1574" s="64">
        <f>VLOOKUP(C1574,'CHAS - Cook Co'!$C$1:$J$2762,2,FALSE) - VLOOKUP(C1574,'CHAS - Chicago'!$C$1:$J$2762,2,FALSE)</f>
        <v>11220</v>
      </c>
      <c r="E1574" t="s">
        <v>373</v>
      </c>
      <c r="F1574" s="71" t="s">
        <v>367</v>
      </c>
      <c r="G1574" s="71" t="s">
        <v>2033</v>
      </c>
      <c r="H1574" s="71" t="s">
        <v>2023</v>
      </c>
    </row>
    <row r="1575" spans="1:8" ht="43.5" x14ac:dyDescent="0.35">
      <c r="A1575">
        <v>11</v>
      </c>
      <c r="B1575">
        <v>27</v>
      </c>
      <c r="C1575" t="s">
        <v>2043</v>
      </c>
      <c r="D1575" s="64">
        <f>VLOOKUP(C1575,'CHAS - Cook Co'!$C$1:$J$2762,2,FALSE) - VLOOKUP(C1575,'CHAS - Chicago'!$C$1:$J$2762,2,FALSE)</f>
        <v>36500</v>
      </c>
      <c r="E1575" t="s">
        <v>373</v>
      </c>
      <c r="F1575" s="71" t="s">
        <v>367</v>
      </c>
      <c r="G1575" s="71" t="s">
        <v>2033</v>
      </c>
      <c r="H1575" s="71" t="s">
        <v>2025</v>
      </c>
    </row>
    <row r="1576" spans="1:8" ht="43.5" x14ac:dyDescent="0.35">
      <c r="A1576">
        <v>11</v>
      </c>
      <c r="B1576">
        <v>28</v>
      </c>
      <c r="C1576" t="s">
        <v>2044</v>
      </c>
      <c r="D1576" s="64">
        <f>VLOOKUP(C1576,'CHAS - Cook Co'!$C$1:$J$2762,2,FALSE) - VLOOKUP(C1576,'CHAS - Chicago'!$C$1:$J$2762,2,FALSE)</f>
        <v>11610</v>
      </c>
      <c r="E1576" t="s">
        <v>373</v>
      </c>
      <c r="F1576" s="71" t="s">
        <v>367</v>
      </c>
      <c r="G1576" s="71" t="s">
        <v>2033</v>
      </c>
      <c r="H1576" s="71" t="s">
        <v>2027</v>
      </c>
    </row>
    <row r="1577" spans="1:8" ht="43.5" x14ac:dyDescent="0.35">
      <c r="A1577">
        <v>11</v>
      </c>
      <c r="B1577">
        <v>29</v>
      </c>
      <c r="C1577" t="s">
        <v>2045</v>
      </c>
      <c r="D1577" s="64">
        <f>VLOOKUP(C1577,'CHAS - Cook Co'!$C$1:$J$2762,2,FALSE) - VLOOKUP(C1577,'CHAS - Chicago'!$C$1:$J$2762,2,FALSE)</f>
        <v>46910</v>
      </c>
      <c r="E1577" t="s">
        <v>373</v>
      </c>
      <c r="F1577" s="71" t="s">
        <v>367</v>
      </c>
      <c r="G1577" s="71" t="s">
        <v>2033</v>
      </c>
      <c r="H1577" s="71" t="s">
        <v>2029</v>
      </c>
    </row>
    <row r="1578" spans="1:8" ht="29" x14ac:dyDescent="0.35">
      <c r="A1578">
        <v>11</v>
      </c>
      <c r="B1578">
        <v>30</v>
      </c>
      <c r="C1578" t="s">
        <v>2046</v>
      </c>
      <c r="D1578" s="64">
        <f>VLOOKUP(C1578,'CHAS - Cook Co'!$C$1:$J$2762,2,FALSE) - VLOOKUP(C1578,'CHAS - Chicago'!$C$1:$J$2762,2,FALSE)</f>
        <v>219850</v>
      </c>
      <c r="E1578" t="s">
        <v>373</v>
      </c>
      <c r="F1578" s="71" t="s">
        <v>367</v>
      </c>
      <c r="G1578" s="71" t="s">
        <v>2033</v>
      </c>
      <c r="H1578" s="71" t="s">
        <v>2031</v>
      </c>
    </row>
    <row r="1579" spans="1:8" ht="43.5" x14ac:dyDescent="0.35">
      <c r="A1579">
        <v>11</v>
      </c>
      <c r="B1579">
        <v>31</v>
      </c>
      <c r="C1579" t="s">
        <v>2047</v>
      </c>
      <c r="D1579" s="64">
        <f>VLOOKUP(C1579,'CHAS - Cook Co'!$C$1:$J$2762,2,FALSE) - VLOOKUP(C1579,'CHAS - Chicago'!$C$1:$J$2762,2,FALSE)</f>
        <v>5515</v>
      </c>
      <c r="E1579" t="s">
        <v>366</v>
      </c>
      <c r="F1579" s="71" t="s">
        <v>367</v>
      </c>
      <c r="G1579" s="71" t="s">
        <v>2048</v>
      </c>
      <c r="H1579" s="71" t="s">
        <v>363</v>
      </c>
    </row>
    <row r="1580" spans="1:8" ht="43.5" x14ac:dyDescent="0.35">
      <c r="A1580">
        <v>11</v>
      </c>
      <c r="B1580">
        <v>32</v>
      </c>
      <c r="C1580" t="s">
        <v>2049</v>
      </c>
      <c r="D1580" s="64">
        <f>VLOOKUP(C1580,'CHAS - Cook Co'!$C$1:$J$2762,2,FALSE) - VLOOKUP(C1580,'CHAS - Chicago'!$C$1:$J$2762,2,FALSE)</f>
        <v>5515</v>
      </c>
      <c r="E1580" t="s">
        <v>373</v>
      </c>
      <c r="F1580" s="71" t="s">
        <v>367</v>
      </c>
      <c r="G1580" s="71" t="s">
        <v>2048</v>
      </c>
      <c r="H1580" s="71" t="s">
        <v>2007</v>
      </c>
    </row>
    <row r="1581" spans="1:8" ht="43.5" x14ac:dyDescent="0.35">
      <c r="A1581">
        <v>11</v>
      </c>
      <c r="B1581">
        <v>33</v>
      </c>
      <c r="C1581" t="s">
        <v>2050</v>
      </c>
      <c r="D1581" s="64">
        <f>VLOOKUP(C1581,'CHAS - Cook Co'!$C$1:$J$2762,2,FALSE) - VLOOKUP(C1581,'CHAS - Chicago'!$C$1:$J$2762,2,FALSE)</f>
        <v>0</v>
      </c>
      <c r="E1581" t="s">
        <v>373</v>
      </c>
      <c r="F1581" s="71" t="s">
        <v>367</v>
      </c>
      <c r="G1581" s="71" t="s">
        <v>2048</v>
      </c>
      <c r="H1581" s="71" t="s">
        <v>2009</v>
      </c>
    </row>
    <row r="1582" spans="1:8" ht="43.5" x14ac:dyDescent="0.35">
      <c r="A1582">
        <v>11</v>
      </c>
      <c r="B1582">
        <v>34</v>
      </c>
      <c r="C1582" t="s">
        <v>2051</v>
      </c>
      <c r="D1582" s="64">
        <f>VLOOKUP(C1582,'CHAS - Cook Co'!$C$1:$J$2762,2,FALSE) - VLOOKUP(C1582,'CHAS - Chicago'!$C$1:$J$2762,2,FALSE)</f>
        <v>0</v>
      </c>
      <c r="E1582" t="s">
        <v>373</v>
      </c>
      <c r="F1582" s="71" t="s">
        <v>367</v>
      </c>
      <c r="G1582" s="71" t="s">
        <v>2048</v>
      </c>
      <c r="H1582" s="71" t="s">
        <v>2011</v>
      </c>
    </row>
    <row r="1583" spans="1:8" ht="43.5" x14ac:dyDescent="0.35">
      <c r="A1583">
        <v>11</v>
      </c>
      <c r="B1583">
        <v>35</v>
      </c>
      <c r="C1583" t="s">
        <v>2052</v>
      </c>
      <c r="D1583" s="64">
        <f>VLOOKUP(C1583,'CHAS - Cook Co'!$C$1:$J$2762,2,FALSE) - VLOOKUP(C1583,'CHAS - Chicago'!$C$1:$J$2762,2,FALSE)</f>
        <v>0</v>
      </c>
      <c r="E1583" t="s">
        <v>373</v>
      </c>
      <c r="F1583" s="71" t="s">
        <v>367</v>
      </c>
      <c r="G1583" s="71" t="s">
        <v>2048</v>
      </c>
      <c r="H1583" s="71" t="s">
        <v>2013</v>
      </c>
    </row>
    <row r="1584" spans="1:8" ht="43.5" x14ac:dyDescent="0.35">
      <c r="A1584">
        <v>11</v>
      </c>
      <c r="B1584">
        <v>36</v>
      </c>
      <c r="C1584" t="s">
        <v>2053</v>
      </c>
      <c r="D1584" s="64">
        <f>VLOOKUP(C1584,'CHAS - Cook Co'!$C$1:$J$2762,2,FALSE) - VLOOKUP(C1584,'CHAS - Chicago'!$C$1:$J$2762,2,FALSE)</f>
        <v>0</v>
      </c>
      <c r="E1584" t="s">
        <v>373</v>
      </c>
      <c r="F1584" s="71" t="s">
        <v>367</v>
      </c>
      <c r="G1584" s="71" t="s">
        <v>2048</v>
      </c>
      <c r="H1584" s="71" t="s">
        <v>2015</v>
      </c>
    </row>
    <row r="1585" spans="1:8" ht="43.5" x14ac:dyDescent="0.35">
      <c r="A1585">
        <v>11</v>
      </c>
      <c r="B1585">
        <v>37</v>
      </c>
      <c r="C1585" t="s">
        <v>2054</v>
      </c>
      <c r="D1585" s="64">
        <f>VLOOKUP(C1585,'CHAS - Cook Co'!$C$1:$J$2762,2,FALSE) - VLOOKUP(C1585,'CHAS - Chicago'!$C$1:$J$2762,2,FALSE)</f>
        <v>0</v>
      </c>
      <c r="E1585" t="s">
        <v>373</v>
      </c>
      <c r="F1585" s="71" t="s">
        <v>367</v>
      </c>
      <c r="G1585" s="71" t="s">
        <v>2048</v>
      </c>
      <c r="H1585" s="71" t="s">
        <v>2017</v>
      </c>
    </row>
    <row r="1586" spans="1:8" ht="43.5" x14ac:dyDescent="0.35">
      <c r="A1586">
        <v>11</v>
      </c>
      <c r="B1586">
        <v>38</v>
      </c>
      <c r="C1586" t="s">
        <v>2055</v>
      </c>
      <c r="D1586" s="64">
        <f>VLOOKUP(C1586,'CHAS - Cook Co'!$C$1:$J$2762,2,FALSE) - VLOOKUP(C1586,'CHAS - Chicago'!$C$1:$J$2762,2,FALSE)</f>
        <v>0</v>
      </c>
      <c r="E1586" t="s">
        <v>373</v>
      </c>
      <c r="F1586" s="71" t="s">
        <v>367</v>
      </c>
      <c r="G1586" s="71" t="s">
        <v>2048</v>
      </c>
      <c r="H1586" s="71" t="s">
        <v>2019</v>
      </c>
    </row>
    <row r="1587" spans="1:8" ht="43.5" x14ac:dyDescent="0.35">
      <c r="A1587">
        <v>11</v>
      </c>
      <c r="B1587">
        <v>39</v>
      </c>
      <c r="C1587" t="s">
        <v>2056</v>
      </c>
      <c r="D1587" s="64">
        <f>VLOOKUP(C1587,'CHAS - Cook Co'!$C$1:$J$2762,2,FALSE) - VLOOKUP(C1587,'CHAS - Chicago'!$C$1:$J$2762,2,FALSE)</f>
        <v>0</v>
      </c>
      <c r="E1587" t="s">
        <v>373</v>
      </c>
      <c r="F1587" s="71" t="s">
        <v>367</v>
      </c>
      <c r="G1587" s="71" t="s">
        <v>2048</v>
      </c>
      <c r="H1587" s="71" t="s">
        <v>2021</v>
      </c>
    </row>
    <row r="1588" spans="1:8" ht="43.5" x14ac:dyDescent="0.35">
      <c r="A1588">
        <v>11</v>
      </c>
      <c r="B1588">
        <v>40</v>
      </c>
      <c r="C1588" t="s">
        <v>2057</v>
      </c>
      <c r="D1588" s="64">
        <f>VLOOKUP(C1588,'CHAS - Cook Co'!$C$1:$J$2762,2,FALSE) - VLOOKUP(C1588,'CHAS - Chicago'!$C$1:$J$2762,2,FALSE)</f>
        <v>0</v>
      </c>
      <c r="E1588" t="s">
        <v>373</v>
      </c>
      <c r="F1588" s="71" t="s">
        <v>367</v>
      </c>
      <c r="G1588" s="71" t="s">
        <v>2048</v>
      </c>
      <c r="H1588" s="71" t="s">
        <v>2023</v>
      </c>
    </row>
    <row r="1589" spans="1:8" ht="43.5" x14ac:dyDescent="0.35">
      <c r="A1589">
        <v>11</v>
      </c>
      <c r="B1589">
        <v>41</v>
      </c>
      <c r="C1589" t="s">
        <v>2058</v>
      </c>
      <c r="D1589" s="64">
        <f>VLOOKUP(C1589,'CHAS - Cook Co'!$C$1:$J$2762,2,FALSE) - VLOOKUP(C1589,'CHAS - Chicago'!$C$1:$J$2762,2,FALSE)</f>
        <v>0</v>
      </c>
      <c r="E1589" t="s">
        <v>373</v>
      </c>
      <c r="F1589" s="71" t="s">
        <v>367</v>
      </c>
      <c r="G1589" s="71" t="s">
        <v>2048</v>
      </c>
      <c r="H1589" s="71" t="s">
        <v>2025</v>
      </c>
    </row>
    <row r="1590" spans="1:8" ht="43.5" x14ac:dyDescent="0.35">
      <c r="A1590">
        <v>11</v>
      </c>
      <c r="B1590">
        <v>42</v>
      </c>
      <c r="C1590" t="s">
        <v>2059</v>
      </c>
      <c r="D1590" s="64">
        <f>VLOOKUP(C1590,'CHAS - Cook Co'!$C$1:$J$2762,2,FALSE) - VLOOKUP(C1590,'CHAS - Chicago'!$C$1:$J$2762,2,FALSE)</f>
        <v>0</v>
      </c>
      <c r="E1590" t="s">
        <v>373</v>
      </c>
      <c r="F1590" s="71" t="s">
        <v>367</v>
      </c>
      <c r="G1590" s="71" t="s">
        <v>2048</v>
      </c>
      <c r="H1590" s="71" t="s">
        <v>2027</v>
      </c>
    </row>
    <row r="1591" spans="1:8" ht="43.5" x14ac:dyDescent="0.35">
      <c r="A1591">
        <v>11</v>
      </c>
      <c r="B1591">
        <v>43</v>
      </c>
      <c r="C1591" t="s">
        <v>2060</v>
      </c>
      <c r="D1591" s="64">
        <f>VLOOKUP(C1591,'CHAS - Cook Co'!$C$1:$J$2762,2,FALSE) - VLOOKUP(C1591,'CHAS - Chicago'!$C$1:$J$2762,2,FALSE)</f>
        <v>0</v>
      </c>
      <c r="E1591" t="s">
        <v>373</v>
      </c>
      <c r="F1591" s="71" t="s">
        <v>367</v>
      </c>
      <c r="G1591" s="71" t="s">
        <v>2048</v>
      </c>
      <c r="H1591" s="71" t="s">
        <v>2029</v>
      </c>
    </row>
    <row r="1592" spans="1:8" ht="43.5" x14ac:dyDescent="0.35">
      <c r="A1592">
        <v>11</v>
      </c>
      <c r="B1592">
        <v>44</v>
      </c>
      <c r="C1592" t="s">
        <v>2061</v>
      </c>
      <c r="D1592" s="64">
        <f>VLOOKUP(C1592,'CHAS - Cook Co'!$C$1:$J$2762,2,FALSE) - VLOOKUP(C1592,'CHAS - Chicago'!$C$1:$J$2762,2,FALSE)</f>
        <v>0</v>
      </c>
      <c r="E1592" t="s">
        <v>373</v>
      </c>
      <c r="F1592" s="71" t="s">
        <v>367</v>
      </c>
      <c r="G1592" s="71" t="s">
        <v>2048</v>
      </c>
      <c r="H1592" s="71" t="s">
        <v>2031</v>
      </c>
    </row>
    <row r="1593" spans="1:8" x14ac:dyDescent="0.35">
      <c r="A1593">
        <v>11</v>
      </c>
      <c r="B1593">
        <v>45</v>
      </c>
      <c r="C1593" t="s">
        <v>2062</v>
      </c>
      <c r="D1593" s="64">
        <f>VLOOKUP(C1593,'CHAS - Cook Co'!$C$1:$J$2762,2,FALSE) - VLOOKUP(C1593,'CHAS - Chicago'!$C$1:$J$2762,2,FALSE)</f>
        <v>263750</v>
      </c>
      <c r="E1593" t="s">
        <v>366</v>
      </c>
      <c r="F1593" s="71" t="s">
        <v>508</v>
      </c>
      <c r="G1593" s="71" t="s">
        <v>362</v>
      </c>
      <c r="H1593" s="71" t="s">
        <v>363</v>
      </c>
    </row>
    <row r="1594" spans="1:8" ht="29" x14ac:dyDescent="0.35">
      <c r="A1594">
        <v>11</v>
      </c>
      <c r="B1594">
        <v>46</v>
      </c>
      <c r="C1594" t="s">
        <v>2063</v>
      </c>
      <c r="D1594" s="64">
        <f>VLOOKUP(C1594,'CHAS - Cook Co'!$C$1:$J$2762,2,FALSE) - VLOOKUP(C1594,'CHAS - Chicago'!$C$1:$J$2762,2,FALSE)</f>
        <v>130520</v>
      </c>
      <c r="E1594" t="s">
        <v>366</v>
      </c>
      <c r="F1594" s="71" t="s">
        <v>508</v>
      </c>
      <c r="G1594" s="71" t="s">
        <v>2005</v>
      </c>
      <c r="H1594" s="71" t="s">
        <v>363</v>
      </c>
    </row>
    <row r="1595" spans="1:8" ht="29" x14ac:dyDescent="0.35">
      <c r="A1595">
        <v>11</v>
      </c>
      <c r="B1595">
        <v>47</v>
      </c>
      <c r="C1595" t="s">
        <v>2064</v>
      </c>
      <c r="D1595" s="64">
        <f>VLOOKUP(C1595,'CHAS - Cook Co'!$C$1:$J$2762,2,FALSE) - VLOOKUP(C1595,'CHAS - Chicago'!$C$1:$J$2762,2,FALSE)</f>
        <v>32025</v>
      </c>
      <c r="E1595" t="s">
        <v>373</v>
      </c>
      <c r="F1595" s="71" t="s">
        <v>508</v>
      </c>
      <c r="G1595" s="71" t="s">
        <v>2005</v>
      </c>
      <c r="H1595" s="71" t="s">
        <v>2007</v>
      </c>
    </row>
    <row r="1596" spans="1:8" ht="43.5" x14ac:dyDescent="0.35">
      <c r="A1596">
        <v>11</v>
      </c>
      <c r="B1596">
        <v>48</v>
      </c>
      <c r="C1596" t="s">
        <v>2065</v>
      </c>
      <c r="D1596" s="64">
        <f>VLOOKUP(C1596,'CHAS - Cook Co'!$C$1:$J$2762,2,FALSE) - VLOOKUP(C1596,'CHAS - Chicago'!$C$1:$J$2762,2,FALSE)</f>
        <v>24365</v>
      </c>
      <c r="E1596" t="s">
        <v>373</v>
      </c>
      <c r="F1596" s="71" t="s">
        <v>508</v>
      </c>
      <c r="G1596" s="71" t="s">
        <v>2005</v>
      </c>
      <c r="H1596" s="71" t="s">
        <v>2009</v>
      </c>
    </row>
    <row r="1597" spans="1:8" ht="43.5" x14ac:dyDescent="0.35">
      <c r="A1597">
        <v>11</v>
      </c>
      <c r="B1597">
        <v>49</v>
      </c>
      <c r="C1597" t="s">
        <v>2066</v>
      </c>
      <c r="D1597" s="64">
        <f>VLOOKUP(C1597,'CHAS - Cook Co'!$C$1:$J$2762,2,FALSE) - VLOOKUP(C1597,'CHAS - Chicago'!$C$1:$J$2762,2,FALSE)</f>
        <v>23155</v>
      </c>
      <c r="E1597" t="s">
        <v>373</v>
      </c>
      <c r="F1597" s="71" t="s">
        <v>508</v>
      </c>
      <c r="G1597" s="71" t="s">
        <v>2005</v>
      </c>
      <c r="H1597" s="71" t="s">
        <v>2011</v>
      </c>
    </row>
    <row r="1598" spans="1:8" ht="43.5" x14ac:dyDescent="0.35">
      <c r="A1598">
        <v>11</v>
      </c>
      <c r="B1598">
        <v>50</v>
      </c>
      <c r="C1598" t="s">
        <v>2067</v>
      </c>
      <c r="D1598" s="64">
        <f>VLOOKUP(C1598,'CHAS - Cook Co'!$C$1:$J$2762,2,FALSE) - VLOOKUP(C1598,'CHAS - Chicago'!$C$1:$J$2762,2,FALSE)</f>
        <v>18180</v>
      </c>
      <c r="E1598" t="s">
        <v>373</v>
      </c>
      <c r="F1598" s="71" t="s">
        <v>508</v>
      </c>
      <c r="G1598" s="71" t="s">
        <v>2005</v>
      </c>
      <c r="H1598" s="71" t="s">
        <v>2013</v>
      </c>
    </row>
    <row r="1599" spans="1:8" ht="43.5" x14ac:dyDescent="0.35">
      <c r="A1599">
        <v>11</v>
      </c>
      <c r="B1599">
        <v>51</v>
      </c>
      <c r="C1599" t="s">
        <v>2068</v>
      </c>
      <c r="D1599" s="64">
        <f>VLOOKUP(C1599,'CHAS - Cook Co'!$C$1:$J$2762,2,FALSE) - VLOOKUP(C1599,'CHAS - Chicago'!$C$1:$J$2762,2,FALSE)</f>
        <v>11065</v>
      </c>
      <c r="E1599" t="s">
        <v>373</v>
      </c>
      <c r="F1599" s="71" t="s">
        <v>508</v>
      </c>
      <c r="G1599" s="71" t="s">
        <v>2005</v>
      </c>
      <c r="H1599" s="71" t="s">
        <v>2015</v>
      </c>
    </row>
    <row r="1600" spans="1:8" ht="43.5" x14ac:dyDescent="0.35">
      <c r="A1600">
        <v>11</v>
      </c>
      <c r="B1600">
        <v>52</v>
      </c>
      <c r="C1600" t="s">
        <v>2069</v>
      </c>
      <c r="D1600" s="64">
        <f>VLOOKUP(C1600,'CHAS - Cook Co'!$C$1:$J$2762,2,FALSE) - VLOOKUP(C1600,'CHAS - Chicago'!$C$1:$J$2762,2,FALSE)</f>
        <v>4965</v>
      </c>
      <c r="E1600" t="s">
        <v>373</v>
      </c>
      <c r="F1600" s="71" t="s">
        <v>508</v>
      </c>
      <c r="G1600" s="71" t="s">
        <v>2005</v>
      </c>
      <c r="H1600" s="71" t="s">
        <v>2017</v>
      </c>
    </row>
    <row r="1601" spans="1:8" ht="43.5" x14ac:dyDescent="0.35">
      <c r="A1601">
        <v>11</v>
      </c>
      <c r="B1601">
        <v>53</v>
      </c>
      <c r="C1601" t="s">
        <v>2070</v>
      </c>
      <c r="D1601" s="64">
        <f>VLOOKUP(C1601,'CHAS - Cook Co'!$C$1:$J$2762,2,FALSE) - VLOOKUP(C1601,'CHAS - Chicago'!$C$1:$J$2762,2,FALSE)</f>
        <v>7015</v>
      </c>
      <c r="E1601" t="s">
        <v>373</v>
      </c>
      <c r="F1601" s="71" t="s">
        <v>508</v>
      </c>
      <c r="G1601" s="71" t="s">
        <v>2005</v>
      </c>
      <c r="H1601" s="71" t="s">
        <v>2019</v>
      </c>
    </row>
    <row r="1602" spans="1:8" ht="43.5" x14ac:dyDescent="0.35">
      <c r="A1602">
        <v>11</v>
      </c>
      <c r="B1602">
        <v>54</v>
      </c>
      <c r="C1602" t="s">
        <v>2071</v>
      </c>
      <c r="D1602" s="64">
        <f>VLOOKUP(C1602,'CHAS - Cook Co'!$C$1:$J$2762,2,FALSE) - VLOOKUP(C1602,'CHAS - Chicago'!$C$1:$J$2762,2,FALSE)</f>
        <v>4010</v>
      </c>
      <c r="E1602" t="s">
        <v>373</v>
      </c>
      <c r="F1602" s="71" t="s">
        <v>508</v>
      </c>
      <c r="G1602" s="71" t="s">
        <v>2005</v>
      </c>
      <c r="H1602" s="71" t="s">
        <v>2021</v>
      </c>
    </row>
    <row r="1603" spans="1:8" ht="43.5" x14ac:dyDescent="0.35">
      <c r="A1603">
        <v>11</v>
      </c>
      <c r="B1603">
        <v>55</v>
      </c>
      <c r="C1603" t="s">
        <v>2072</v>
      </c>
      <c r="D1603" s="64">
        <f>VLOOKUP(C1603,'CHAS - Cook Co'!$C$1:$J$2762,2,FALSE) - VLOOKUP(C1603,'CHAS - Chicago'!$C$1:$J$2762,2,FALSE)</f>
        <v>855</v>
      </c>
      <c r="E1603" t="s">
        <v>373</v>
      </c>
      <c r="F1603" s="71" t="s">
        <v>508</v>
      </c>
      <c r="G1603" s="71" t="s">
        <v>2005</v>
      </c>
      <c r="H1603" s="71" t="s">
        <v>2023</v>
      </c>
    </row>
    <row r="1604" spans="1:8" ht="43.5" x14ac:dyDescent="0.35">
      <c r="A1604">
        <v>11</v>
      </c>
      <c r="B1604">
        <v>56</v>
      </c>
      <c r="C1604" t="s">
        <v>2073</v>
      </c>
      <c r="D1604" s="64">
        <f>VLOOKUP(C1604,'CHAS - Cook Co'!$C$1:$J$2762,2,FALSE) - VLOOKUP(C1604,'CHAS - Chicago'!$C$1:$J$2762,2,FALSE)</f>
        <v>1830</v>
      </c>
      <c r="E1604" t="s">
        <v>373</v>
      </c>
      <c r="F1604" s="71" t="s">
        <v>508</v>
      </c>
      <c r="G1604" s="71" t="s">
        <v>2005</v>
      </c>
      <c r="H1604" s="71" t="s">
        <v>2025</v>
      </c>
    </row>
    <row r="1605" spans="1:8" ht="43.5" x14ac:dyDescent="0.35">
      <c r="A1605">
        <v>11</v>
      </c>
      <c r="B1605">
        <v>57</v>
      </c>
      <c r="C1605" t="s">
        <v>2074</v>
      </c>
      <c r="D1605" s="64">
        <f>VLOOKUP(C1605,'CHAS - Cook Co'!$C$1:$J$2762,2,FALSE) - VLOOKUP(C1605,'CHAS - Chicago'!$C$1:$J$2762,2,FALSE)</f>
        <v>385</v>
      </c>
      <c r="E1605" t="s">
        <v>373</v>
      </c>
      <c r="F1605" s="71" t="s">
        <v>508</v>
      </c>
      <c r="G1605" s="71" t="s">
        <v>2005</v>
      </c>
      <c r="H1605" s="71" t="s">
        <v>2027</v>
      </c>
    </row>
    <row r="1606" spans="1:8" ht="43.5" x14ac:dyDescent="0.35">
      <c r="A1606">
        <v>11</v>
      </c>
      <c r="B1606">
        <v>58</v>
      </c>
      <c r="C1606" t="s">
        <v>2075</v>
      </c>
      <c r="D1606" s="64">
        <f>VLOOKUP(C1606,'CHAS - Cook Co'!$C$1:$J$2762,2,FALSE) - VLOOKUP(C1606,'CHAS - Chicago'!$C$1:$J$2762,2,FALSE)</f>
        <v>1320</v>
      </c>
      <c r="E1606" t="s">
        <v>373</v>
      </c>
      <c r="F1606" s="71" t="s">
        <v>508</v>
      </c>
      <c r="G1606" s="71" t="s">
        <v>2005</v>
      </c>
      <c r="H1606" s="71" t="s">
        <v>2029</v>
      </c>
    </row>
    <row r="1607" spans="1:8" ht="29" x14ac:dyDescent="0.35">
      <c r="A1607">
        <v>11</v>
      </c>
      <c r="B1607">
        <v>59</v>
      </c>
      <c r="C1607" t="s">
        <v>2076</v>
      </c>
      <c r="D1607" s="64">
        <f>VLOOKUP(C1607,'CHAS - Cook Co'!$C$1:$J$2762,2,FALSE) - VLOOKUP(C1607,'CHAS - Chicago'!$C$1:$J$2762,2,FALSE)</f>
        <v>1340</v>
      </c>
      <c r="E1607" t="s">
        <v>373</v>
      </c>
      <c r="F1607" s="71" t="s">
        <v>508</v>
      </c>
      <c r="G1607" s="71" t="s">
        <v>2005</v>
      </c>
      <c r="H1607" s="71" t="s">
        <v>2031</v>
      </c>
    </row>
    <row r="1608" spans="1:8" ht="29" x14ac:dyDescent="0.35">
      <c r="A1608">
        <v>11</v>
      </c>
      <c r="B1608">
        <v>60</v>
      </c>
      <c r="C1608" t="s">
        <v>2077</v>
      </c>
      <c r="D1608" s="64">
        <f>VLOOKUP(C1608,'CHAS - Cook Co'!$C$1:$J$2762,2,FALSE) - VLOOKUP(C1608,'CHAS - Chicago'!$C$1:$J$2762,2,FALSE)</f>
        <v>124670</v>
      </c>
      <c r="E1608" t="s">
        <v>366</v>
      </c>
      <c r="F1608" s="71" t="s">
        <v>508</v>
      </c>
      <c r="G1608" s="71" t="s">
        <v>2033</v>
      </c>
      <c r="H1608" s="71" t="s">
        <v>363</v>
      </c>
    </row>
    <row r="1609" spans="1:8" ht="29" x14ac:dyDescent="0.35">
      <c r="A1609">
        <v>11</v>
      </c>
      <c r="B1609">
        <v>61</v>
      </c>
      <c r="C1609" t="s">
        <v>2078</v>
      </c>
      <c r="D1609" s="64">
        <f>VLOOKUP(C1609,'CHAS - Cook Co'!$C$1:$J$2762,2,FALSE) - VLOOKUP(C1609,'CHAS - Chicago'!$C$1:$J$2762,2,FALSE)</f>
        <v>4030</v>
      </c>
      <c r="E1609" t="s">
        <v>373</v>
      </c>
      <c r="F1609" s="71" t="s">
        <v>508</v>
      </c>
      <c r="G1609" s="71" t="s">
        <v>2033</v>
      </c>
      <c r="H1609" s="71" t="s">
        <v>2007</v>
      </c>
    </row>
    <row r="1610" spans="1:8" ht="43.5" x14ac:dyDescent="0.35">
      <c r="A1610">
        <v>11</v>
      </c>
      <c r="B1610">
        <v>62</v>
      </c>
      <c r="C1610" t="s">
        <v>2079</v>
      </c>
      <c r="D1610" s="64">
        <f>VLOOKUP(C1610,'CHAS - Cook Co'!$C$1:$J$2762,2,FALSE) - VLOOKUP(C1610,'CHAS - Chicago'!$C$1:$J$2762,2,FALSE)</f>
        <v>2785</v>
      </c>
      <c r="E1610" t="s">
        <v>373</v>
      </c>
      <c r="F1610" s="71" t="s">
        <v>508</v>
      </c>
      <c r="G1610" s="71" t="s">
        <v>2033</v>
      </c>
      <c r="H1610" s="71" t="s">
        <v>2009</v>
      </c>
    </row>
    <row r="1611" spans="1:8" ht="43.5" x14ac:dyDescent="0.35">
      <c r="A1611">
        <v>11</v>
      </c>
      <c r="B1611">
        <v>63</v>
      </c>
      <c r="C1611" t="s">
        <v>2080</v>
      </c>
      <c r="D1611" s="64">
        <f>VLOOKUP(C1611,'CHAS - Cook Co'!$C$1:$J$2762,2,FALSE) - VLOOKUP(C1611,'CHAS - Chicago'!$C$1:$J$2762,2,FALSE)</f>
        <v>2610</v>
      </c>
      <c r="E1611" t="s">
        <v>373</v>
      </c>
      <c r="F1611" s="71" t="s">
        <v>508</v>
      </c>
      <c r="G1611" s="71" t="s">
        <v>2033</v>
      </c>
      <c r="H1611" s="71" t="s">
        <v>2011</v>
      </c>
    </row>
    <row r="1612" spans="1:8" ht="43.5" x14ac:dyDescent="0.35">
      <c r="A1612">
        <v>11</v>
      </c>
      <c r="B1612">
        <v>64</v>
      </c>
      <c r="C1612" t="s">
        <v>2081</v>
      </c>
      <c r="D1612" s="64">
        <f>VLOOKUP(C1612,'CHAS - Cook Co'!$C$1:$J$2762,2,FALSE) - VLOOKUP(C1612,'CHAS - Chicago'!$C$1:$J$2762,2,FALSE)</f>
        <v>4545</v>
      </c>
      <c r="E1612" t="s">
        <v>373</v>
      </c>
      <c r="F1612" s="71" t="s">
        <v>508</v>
      </c>
      <c r="G1612" s="71" t="s">
        <v>2033</v>
      </c>
      <c r="H1612" s="71" t="s">
        <v>2013</v>
      </c>
    </row>
    <row r="1613" spans="1:8" ht="43.5" x14ac:dyDescent="0.35">
      <c r="A1613">
        <v>11</v>
      </c>
      <c r="B1613">
        <v>65</v>
      </c>
      <c r="C1613" t="s">
        <v>2082</v>
      </c>
      <c r="D1613" s="64">
        <f>VLOOKUP(C1613,'CHAS - Cook Co'!$C$1:$J$2762,2,FALSE) - VLOOKUP(C1613,'CHAS - Chicago'!$C$1:$J$2762,2,FALSE)</f>
        <v>8145</v>
      </c>
      <c r="E1613" t="s">
        <v>373</v>
      </c>
      <c r="F1613" s="71" t="s">
        <v>508</v>
      </c>
      <c r="G1613" s="71" t="s">
        <v>2033</v>
      </c>
      <c r="H1613" s="71" t="s">
        <v>2015</v>
      </c>
    </row>
    <row r="1614" spans="1:8" ht="43.5" x14ac:dyDescent="0.35">
      <c r="A1614">
        <v>11</v>
      </c>
      <c r="B1614">
        <v>66</v>
      </c>
      <c r="C1614" t="s">
        <v>2083</v>
      </c>
      <c r="D1614" s="64">
        <f>VLOOKUP(C1614,'CHAS - Cook Co'!$C$1:$J$2762,2,FALSE) - VLOOKUP(C1614,'CHAS - Chicago'!$C$1:$J$2762,2,FALSE)</f>
        <v>5905</v>
      </c>
      <c r="E1614" t="s">
        <v>373</v>
      </c>
      <c r="F1614" s="71" t="s">
        <v>508</v>
      </c>
      <c r="G1614" s="71" t="s">
        <v>2033</v>
      </c>
      <c r="H1614" s="71" t="s">
        <v>2017</v>
      </c>
    </row>
    <row r="1615" spans="1:8" ht="43.5" x14ac:dyDescent="0.35">
      <c r="A1615">
        <v>11</v>
      </c>
      <c r="B1615">
        <v>67</v>
      </c>
      <c r="C1615" t="s">
        <v>2084</v>
      </c>
      <c r="D1615" s="64">
        <f>VLOOKUP(C1615,'CHAS - Cook Co'!$C$1:$J$2762,2,FALSE) - VLOOKUP(C1615,'CHAS - Chicago'!$C$1:$J$2762,2,FALSE)</f>
        <v>16940</v>
      </c>
      <c r="E1615" t="s">
        <v>373</v>
      </c>
      <c r="F1615" s="71" t="s">
        <v>508</v>
      </c>
      <c r="G1615" s="71" t="s">
        <v>2033</v>
      </c>
      <c r="H1615" s="71" t="s">
        <v>2019</v>
      </c>
    </row>
    <row r="1616" spans="1:8" ht="43.5" x14ac:dyDescent="0.35">
      <c r="A1616">
        <v>11</v>
      </c>
      <c r="B1616">
        <v>68</v>
      </c>
      <c r="C1616" t="s">
        <v>2085</v>
      </c>
      <c r="D1616" s="64">
        <f>VLOOKUP(C1616,'CHAS - Cook Co'!$C$1:$J$2762,2,FALSE) - VLOOKUP(C1616,'CHAS - Chicago'!$C$1:$J$2762,2,FALSE)</f>
        <v>17935</v>
      </c>
      <c r="E1616" t="s">
        <v>373</v>
      </c>
      <c r="F1616" s="71" t="s">
        <v>508</v>
      </c>
      <c r="G1616" s="71" t="s">
        <v>2033</v>
      </c>
      <c r="H1616" s="71" t="s">
        <v>2021</v>
      </c>
    </row>
    <row r="1617" spans="1:8" ht="43.5" x14ac:dyDescent="0.35">
      <c r="A1617">
        <v>11</v>
      </c>
      <c r="B1617">
        <v>69</v>
      </c>
      <c r="C1617" t="s">
        <v>2086</v>
      </c>
      <c r="D1617" s="64">
        <f>VLOOKUP(C1617,'CHAS - Cook Co'!$C$1:$J$2762,2,FALSE) - VLOOKUP(C1617,'CHAS - Chicago'!$C$1:$J$2762,2,FALSE)</f>
        <v>4515</v>
      </c>
      <c r="E1617" t="s">
        <v>373</v>
      </c>
      <c r="F1617" s="71" t="s">
        <v>508</v>
      </c>
      <c r="G1617" s="71" t="s">
        <v>2033</v>
      </c>
      <c r="H1617" s="71" t="s">
        <v>2023</v>
      </c>
    </row>
    <row r="1618" spans="1:8" ht="43.5" x14ac:dyDescent="0.35">
      <c r="A1618">
        <v>11</v>
      </c>
      <c r="B1618">
        <v>70</v>
      </c>
      <c r="C1618" t="s">
        <v>2087</v>
      </c>
      <c r="D1618" s="64">
        <f>VLOOKUP(C1618,'CHAS - Cook Co'!$C$1:$J$2762,2,FALSE) - VLOOKUP(C1618,'CHAS - Chicago'!$C$1:$J$2762,2,FALSE)</f>
        <v>13190</v>
      </c>
      <c r="E1618" t="s">
        <v>373</v>
      </c>
      <c r="F1618" s="71" t="s">
        <v>508</v>
      </c>
      <c r="G1618" s="71" t="s">
        <v>2033</v>
      </c>
      <c r="H1618" s="71" t="s">
        <v>2025</v>
      </c>
    </row>
    <row r="1619" spans="1:8" ht="43.5" x14ac:dyDescent="0.35">
      <c r="A1619">
        <v>11</v>
      </c>
      <c r="B1619">
        <v>71</v>
      </c>
      <c r="C1619" t="s">
        <v>2088</v>
      </c>
      <c r="D1619" s="64">
        <f>VLOOKUP(C1619,'CHAS - Cook Co'!$C$1:$J$2762,2,FALSE) - VLOOKUP(C1619,'CHAS - Chicago'!$C$1:$J$2762,2,FALSE)</f>
        <v>3005</v>
      </c>
      <c r="E1619" t="s">
        <v>373</v>
      </c>
      <c r="F1619" s="71" t="s">
        <v>508</v>
      </c>
      <c r="G1619" s="71" t="s">
        <v>2033</v>
      </c>
      <c r="H1619" s="71" t="s">
        <v>2027</v>
      </c>
    </row>
    <row r="1620" spans="1:8" ht="43.5" x14ac:dyDescent="0.35">
      <c r="A1620">
        <v>11</v>
      </c>
      <c r="B1620">
        <v>72</v>
      </c>
      <c r="C1620" t="s">
        <v>2089</v>
      </c>
      <c r="D1620" s="64">
        <f>VLOOKUP(C1620,'CHAS - Cook Co'!$C$1:$J$2762,2,FALSE) - VLOOKUP(C1620,'CHAS - Chicago'!$C$1:$J$2762,2,FALSE)</f>
        <v>13010</v>
      </c>
      <c r="E1620" t="s">
        <v>373</v>
      </c>
      <c r="F1620" s="71" t="s">
        <v>508</v>
      </c>
      <c r="G1620" s="71" t="s">
        <v>2033</v>
      </c>
      <c r="H1620" s="71" t="s">
        <v>2029</v>
      </c>
    </row>
    <row r="1621" spans="1:8" ht="29" x14ac:dyDescent="0.35">
      <c r="A1621">
        <v>11</v>
      </c>
      <c r="B1621">
        <v>73</v>
      </c>
      <c r="C1621" t="s">
        <v>2090</v>
      </c>
      <c r="D1621" s="64">
        <f>VLOOKUP(C1621,'CHAS - Cook Co'!$C$1:$J$2762,2,FALSE) - VLOOKUP(C1621,'CHAS - Chicago'!$C$1:$J$2762,2,FALSE)</f>
        <v>28050</v>
      </c>
      <c r="E1621" t="s">
        <v>373</v>
      </c>
      <c r="F1621" s="71" t="s">
        <v>508</v>
      </c>
      <c r="G1621" s="71" t="s">
        <v>2033</v>
      </c>
      <c r="H1621" s="71" t="s">
        <v>2031</v>
      </c>
    </row>
    <row r="1622" spans="1:8" ht="43.5" x14ac:dyDescent="0.35">
      <c r="A1622">
        <v>11</v>
      </c>
      <c r="B1622">
        <v>74</v>
      </c>
      <c r="C1622" t="s">
        <v>2091</v>
      </c>
      <c r="D1622" s="64">
        <f>VLOOKUP(C1622,'CHAS - Cook Co'!$C$1:$J$2762,2,FALSE) - VLOOKUP(C1622,'CHAS - Chicago'!$C$1:$J$2762,2,FALSE)</f>
        <v>8560</v>
      </c>
      <c r="E1622" t="s">
        <v>366</v>
      </c>
      <c r="F1622" s="71" t="s">
        <v>508</v>
      </c>
      <c r="G1622" s="71" t="s">
        <v>2048</v>
      </c>
      <c r="H1622" s="71" t="s">
        <v>363</v>
      </c>
    </row>
    <row r="1623" spans="1:8" ht="43.5" x14ac:dyDescent="0.35">
      <c r="A1623">
        <v>11</v>
      </c>
      <c r="B1623">
        <v>75</v>
      </c>
      <c r="C1623" t="s">
        <v>2092</v>
      </c>
      <c r="D1623" s="64">
        <f>VLOOKUP(C1623,'CHAS - Cook Co'!$C$1:$J$2762,2,FALSE) - VLOOKUP(C1623,'CHAS - Chicago'!$C$1:$J$2762,2,FALSE)</f>
        <v>8560</v>
      </c>
      <c r="E1623" t="s">
        <v>373</v>
      </c>
      <c r="F1623" s="71" t="s">
        <v>508</v>
      </c>
      <c r="G1623" s="71" t="s">
        <v>2048</v>
      </c>
      <c r="H1623" s="71" t="s">
        <v>2007</v>
      </c>
    </row>
    <row r="1624" spans="1:8" ht="43.5" x14ac:dyDescent="0.35">
      <c r="A1624">
        <v>11</v>
      </c>
      <c r="B1624">
        <v>76</v>
      </c>
      <c r="C1624" t="s">
        <v>2093</v>
      </c>
      <c r="D1624" s="64">
        <f>VLOOKUP(C1624,'CHAS - Cook Co'!$C$1:$J$2762,2,FALSE) - VLOOKUP(C1624,'CHAS - Chicago'!$C$1:$J$2762,2,FALSE)</f>
        <v>0</v>
      </c>
      <c r="E1624" t="s">
        <v>373</v>
      </c>
      <c r="F1624" s="71" t="s">
        <v>508</v>
      </c>
      <c r="G1624" s="71" t="s">
        <v>2048</v>
      </c>
      <c r="H1624" s="71" t="s">
        <v>2009</v>
      </c>
    </row>
    <row r="1625" spans="1:8" ht="43.5" x14ac:dyDescent="0.35">
      <c r="A1625">
        <v>11</v>
      </c>
      <c r="B1625">
        <v>77</v>
      </c>
      <c r="C1625" t="s">
        <v>2094</v>
      </c>
      <c r="D1625" s="64">
        <f>VLOOKUP(C1625,'CHAS - Cook Co'!$C$1:$J$2762,2,FALSE) - VLOOKUP(C1625,'CHAS - Chicago'!$C$1:$J$2762,2,FALSE)</f>
        <v>0</v>
      </c>
      <c r="E1625" t="s">
        <v>373</v>
      </c>
      <c r="F1625" s="71" t="s">
        <v>508</v>
      </c>
      <c r="G1625" s="71" t="s">
        <v>2048</v>
      </c>
      <c r="H1625" s="71" t="s">
        <v>2011</v>
      </c>
    </row>
    <row r="1626" spans="1:8" ht="43.5" x14ac:dyDescent="0.35">
      <c r="A1626">
        <v>11</v>
      </c>
      <c r="B1626">
        <v>78</v>
      </c>
      <c r="C1626" t="s">
        <v>2095</v>
      </c>
      <c r="D1626" s="64">
        <f>VLOOKUP(C1626,'CHAS - Cook Co'!$C$1:$J$2762,2,FALSE) - VLOOKUP(C1626,'CHAS - Chicago'!$C$1:$J$2762,2,FALSE)</f>
        <v>0</v>
      </c>
      <c r="E1626" t="s">
        <v>373</v>
      </c>
      <c r="F1626" s="71" t="s">
        <v>508</v>
      </c>
      <c r="G1626" s="71" t="s">
        <v>2048</v>
      </c>
      <c r="H1626" s="71" t="s">
        <v>2013</v>
      </c>
    </row>
    <row r="1627" spans="1:8" ht="43.5" x14ac:dyDescent="0.35">
      <c r="A1627">
        <v>11</v>
      </c>
      <c r="B1627">
        <v>79</v>
      </c>
      <c r="C1627" t="s">
        <v>2096</v>
      </c>
      <c r="D1627" s="64">
        <f>VLOOKUP(C1627,'CHAS - Cook Co'!$C$1:$J$2762,2,FALSE) - VLOOKUP(C1627,'CHAS - Chicago'!$C$1:$J$2762,2,FALSE)</f>
        <v>0</v>
      </c>
      <c r="E1627" t="s">
        <v>373</v>
      </c>
      <c r="F1627" s="71" t="s">
        <v>508</v>
      </c>
      <c r="G1627" s="71" t="s">
        <v>2048</v>
      </c>
      <c r="H1627" s="71" t="s">
        <v>2015</v>
      </c>
    </row>
    <row r="1628" spans="1:8" ht="43.5" x14ac:dyDescent="0.35">
      <c r="A1628">
        <v>11</v>
      </c>
      <c r="B1628">
        <v>80</v>
      </c>
      <c r="C1628" t="s">
        <v>2097</v>
      </c>
      <c r="D1628" s="64">
        <f>VLOOKUP(C1628,'CHAS - Cook Co'!$C$1:$J$2762,2,FALSE) - VLOOKUP(C1628,'CHAS - Chicago'!$C$1:$J$2762,2,FALSE)</f>
        <v>0</v>
      </c>
      <c r="E1628" t="s">
        <v>373</v>
      </c>
      <c r="F1628" s="71" t="s">
        <v>508</v>
      </c>
      <c r="G1628" s="71" t="s">
        <v>2048</v>
      </c>
      <c r="H1628" s="71" t="s">
        <v>2017</v>
      </c>
    </row>
    <row r="1629" spans="1:8" ht="43.5" x14ac:dyDescent="0.35">
      <c r="A1629">
        <v>11</v>
      </c>
      <c r="B1629">
        <v>81</v>
      </c>
      <c r="C1629" t="s">
        <v>2098</v>
      </c>
      <c r="D1629" s="64">
        <f>VLOOKUP(C1629,'CHAS - Cook Co'!$C$1:$J$2762,2,FALSE) - VLOOKUP(C1629,'CHAS - Chicago'!$C$1:$J$2762,2,FALSE)</f>
        <v>0</v>
      </c>
      <c r="E1629" t="s">
        <v>373</v>
      </c>
      <c r="F1629" s="71" t="s">
        <v>508</v>
      </c>
      <c r="G1629" s="71" t="s">
        <v>2048</v>
      </c>
      <c r="H1629" s="71" t="s">
        <v>2019</v>
      </c>
    </row>
    <row r="1630" spans="1:8" ht="43.5" x14ac:dyDescent="0.35">
      <c r="A1630">
        <v>11</v>
      </c>
      <c r="B1630">
        <v>82</v>
      </c>
      <c r="C1630" t="s">
        <v>2099</v>
      </c>
      <c r="D1630" s="64">
        <f>VLOOKUP(C1630,'CHAS - Cook Co'!$C$1:$J$2762,2,FALSE) - VLOOKUP(C1630,'CHAS - Chicago'!$C$1:$J$2762,2,FALSE)</f>
        <v>0</v>
      </c>
      <c r="E1630" t="s">
        <v>373</v>
      </c>
      <c r="F1630" s="71" t="s">
        <v>508</v>
      </c>
      <c r="G1630" s="71" t="s">
        <v>2048</v>
      </c>
      <c r="H1630" s="71" t="s">
        <v>2021</v>
      </c>
    </row>
    <row r="1631" spans="1:8" ht="43.5" x14ac:dyDescent="0.35">
      <c r="A1631">
        <v>11</v>
      </c>
      <c r="B1631">
        <v>83</v>
      </c>
      <c r="C1631" t="s">
        <v>2100</v>
      </c>
      <c r="D1631" s="64">
        <f>VLOOKUP(C1631,'CHAS - Cook Co'!$C$1:$J$2762,2,FALSE) - VLOOKUP(C1631,'CHAS - Chicago'!$C$1:$J$2762,2,FALSE)</f>
        <v>0</v>
      </c>
      <c r="E1631" t="s">
        <v>373</v>
      </c>
      <c r="F1631" s="71" t="s">
        <v>508</v>
      </c>
      <c r="G1631" s="71" t="s">
        <v>2048</v>
      </c>
      <c r="H1631" s="71" t="s">
        <v>2023</v>
      </c>
    </row>
    <row r="1632" spans="1:8" ht="43.5" x14ac:dyDescent="0.35">
      <c r="A1632">
        <v>11</v>
      </c>
      <c r="B1632">
        <v>84</v>
      </c>
      <c r="C1632" t="s">
        <v>2101</v>
      </c>
      <c r="D1632" s="64">
        <f>VLOOKUP(C1632,'CHAS - Cook Co'!$C$1:$J$2762,2,FALSE) - VLOOKUP(C1632,'CHAS - Chicago'!$C$1:$J$2762,2,FALSE)</f>
        <v>0</v>
      </c>
      <c r="E1632" t="s">
        <v>373</v>
      </c>
      <c r="F1632" s="71" t="s">
        <v>508</v>
      </c>
      <c r="G1632" s="71" t="s">
        <v>2048</v>
      </c>
      <c r="H1632" s="71" t="s">
        <v>2025</v>
      </c>
    </row>
    <row r="1633" spans="1:9" ht="43.5" x14ac:dyDescent="0.35">
      <c r="A1633">
        <v>11</v>
      </c>
      <c r="B1633">
        <v>85</v>
      </c>
      <c r="C1633" t="s">
        <v>2102</v>
      </c>
      <c r="D1633" s="64">
        <f>VLOOKUP(C1633,'CHAS - Cook Co'!$C$1:$J$2762,2,FALSE) - VLOOKUP(C1633,'CHAS - Chicago'!$C$1:$J$2762,2,FALSE)</f>
        <v>0</v>
      </c>
      <c r="E1633" t="s">
        <v>373</v>
      </c>
      <c r="F1633" s="71" t="s">
        <v>508</v>
      </c>
      <c r="G1633" s="71" t="s">
        <v>2048</v>
      </c>
      <c r="H1633" s="71" t="s">
        <v>2027</v>
      </c>
    </row>
    <row r="1634" spans="1:9" ht="43.5" x14ac:dyDescent="0.35">
      <c r="A1634">
        <v>11</v>
      </c>
      <c r="B1634">
        <v>86</v>
      </c>
      <c r="C1634" t="s">
        <v>2103</v>
      </c>
      <c r="D1634" s="64">
        <f>VLOOKUP(C1634,'CHAS - Cook Co'!$C$1:$J$2762,2,FALSE) - VLOOKUP(C1634,'CHAS - Chicago'!$C$1:$J$2762,2,FALSE)</f>
        <v>0</v>
      </c>
      <c r="E1634" t="s">
        <v>373</v>
      </c>
      <c r="F1634" s="71" t="s">
        <v>508</v>
      </c>
      <c r="G1634" s="71" t="s">
        <v>2048</v>
      </c>
      <c r="H1634" s="71" t="s">
        <v>2029</v>
      </c>
    </row>
    <row r="1635" spans="1:9" ht="43.5" x14ac:dyDescent="0.35">
      <c r="A1635">
        <v>11</v>
      </c>
      <c r="B1635">
        <v>87</v>
      </c>
      <c r="C1635" t="s">
        <v>2104</v>
      </c>
      <c r="D1635" s="64">
        <f>VLOOKUP(C1635,'CHAS - Cook Co'!$C$1:$J$2762,2,FALSE) - VLOOKUP(C1635,'CHAS - Chicago'!$C$1:$J$2762,2,FALSE)</f>
        <v>0</v>
      </c>
      <c r="E1635" t="s">
        <v>373</v>
      </c>
      <c r="F1635" s="71" t="s">
        <v>508</v>
      </c>
      <c r="G1635" s="71" t="s">
        <v>2048</v>
      </c>
      <c r="H1635" s="71" t="s">
        <v>2031</v>
      </c>
    </row>
    <row r="1636" spans="1:9" ht="29" x14ac:dyDescent="0.35">
      <c r="A1636">
        <v>12</v>
      </c>
      <c r="B1636">
        <v>1</v>
      </c>
      <c r="C1636" t="s">
        <v>2105</v>
      </c>
      <c r="D1636" s="64">
        <f>VLOOKUP(C1636,'CHAS - Cook Co'!$C$1:$J$2762,2,FALSE) - VLOOKUP(C1636,'CHAS - Chicago'!$C$1:$J$2762,2,FALSE)</f>
        <v>909025</v>
      </c>
      <c r="E1636" t="s">
        <v>26</v>
      </c>
      <c r="F1636" s="71" t="s">
        <v>361</v>
      </c>
      <c r="G1636" s="71" t="s">
        <v>2106</v>
      </c>
      <c r="H1636" s="71" t="s">
        <v>363</v>
      </c>
      <c r="I1636" s="71" t="s">
        <v>1374</v>
      </c>
    </row>
    <row r="1637" spans="1:9" x14ac:dyDescent="0.35">
      <c r="A1637">
        <v>12</v>
      </c>
      <c r="B1637">
        <v>2</v>
      </c>
      <c r="C1637" t="s">
        <v>2107</v>
      </c>
      <c r="D1637" s="64">
        <f>VLOOKUP(C1637,'CHAS - Cook Co'!$C$1:$J$2762,2,FALSE) - VLOOKUP(C1637,'CHAS - Chicago'!$C$1:$J$2762,2,FALSE)</f>
        <v>645280</v>
      </c>
      <c r="E1637" t="s">
        <v>366</v>
      </c>
      <c r="F1637" s="71" t="s">
        <v>367</v>
      </c>
      <c r="G1637" s="71" t="s">
        <v>2106</v>
      </c>
      <c r="H1637" s="71" t="s">
        <v>363</v>
      </c>
      <c r="I1637" s="71" t="s">
        <v>1374</v>
      </c>
    </row>
    <row r="1638" spans="1:9" ht="29" x14ac:dyDescent="0.35">
      <c r="A1638">
        <v>12</v>
      </c>
      <c r="B1638">
        <v>3</v>
      </c>
      <c r="C1638" t="s">
        <v>2108</v>
      </c>
      <c r="D1638" s="64">
        <f>VLOOKUP(C1638,'CHAS - Cook Co'!$C$1:$J$2762,2,FALSE) - VLOOKUP(C1638,'CHAS - Chicago'!$C$1:$J$2762,2,FALSE)</f>
        <v>50210</v>
      </c>
      <c r="E1638" t="s">
        <v>366</v>
      </c>
      <c r="F1638" s="71" t="s">
        <v>367</v>
      </c>
      <c r="G1638" s="71" t="s">
        <v>2109</v>
      </c>
      <c r="H1638" s="71" t="s">
        <v>363</v>
      </c>
      <c r="I1638" s="71" t="s">
        <v>1374</v>
      </c>
    </row>
    <row r="1639" spans="1:9" ht="29" x14ac:dyDescent="0.35">
      <c r="A1639">
        <v>12</v>
      </c>
      <c r="B1639">
        <v>4</v>
      </c>
      <c r="C1639" t="s">
        <v>2110</v>
      </c>
      <c r="D1639" s="64">
        <f>VLOOKUP(C1639,'CHAS - Cook Co'!$C$1:$J$2762,2,FALSE) - VLOOKUP(C1639,'CHAS - Chicago'!$C$1:$J$2762,2,FALSE)</f>
        <v>6545</v>
      </c>
      <c r="E1639" t="s">
        <v>366</v>
      </c>
      <c r="F1639" s="71" t="s">
        <v>367</v>
      </c>
      <c r="G1639" s="71" t="s">
        <v>2109</v>
      </c>
      <c r="H1639" s="71" t="s">
        <v>2111</v>
      </c>
      <c r="I1639" s="71" t="s">
        <v>1374</v>
      </c>
    </row>
    <row r="1640" spans="1:9" ht="29" x14ac:dyDescent="0.35">
      <c r="A1640">
        <v>12</v>
      </c>
      <c r="B1640">
        <v>5</v>
      </c>
      <c r="C1640" t="s">
        <v>2112</v>
      </c>
      <c r="D1640" s="64">
        <f>VLOOKUP(C1640,'CHAS - Cook Co'!$C$1:$J$2762,2,FALSE) - VLOOKUP(C1640,'CHAS - Chicago'!$C$1:$J$2762,2,FALSE)</f>
        <v>1035</v>
      </c>
      <c r="E1640" t="s">
        <v>373</v>
      </c>
      <c r="F1640" s="71" t="s">
        <v>367</v>
      </c>
      <c r="G1640" s="71" t="s">
        <v>2109</v>
      </c>
      <c r="H1640" s="71" t="s">
        <v>2111</v>
      </c>
      <c r="I1640" s="71" t="s">
        <v>1657</v>
      </c>
    </row>
    <row r="1641" spans="1:9" ht="29" x14ac:dyDescent="0.35">
      <c r="A1641">
        <v>12</v>
      </c>
      <c r="B1641">
        <v>6</v>
      </c>
      <c r="C1641" t="s">
        <v>2113</v>
      </c>
      <c r="D1641" s="64">
        <f>VLOOKUP(C1641,'CHAS - Cook Co'!$C$1:$J$2762,2,FALSE) - VLOOKUP(C1641,'CHAS - Chicago'!$C$1:$J$2762,2,FALSE)</f>
        <v>1365</v>
      </c>
      <c r="E1641" t="s">
        <v>373</v>
      </c>
      <c r="F1641" s="71" t="s">
        <v>367</v>
      </c>
      <c r="G1641" s="71" t="s">
        <v>2109</v>
      </c>
      <c r="H1641" s="71" t="s">
        <v>2111</v>
      </c>
      <c r="I1641" s="71" t="s">
        <v>1663</v>
      </c>
    </row>
    <row r="1642" spans="1:9" ht="29" x14ac:dyDescent="0.35">
      <c r="A1642">
        <v>12</v>
      </c>
      <c r="B1642">
        <v>7</v>
      </c>
      <c r="C1642" t="s">
        <v>2114</v>
      </c>
      <c r="D1642" s="64">
        <f>VLOOKUP(C1642,'CHAS - Cook Co'!$C$1:$J$2762,2,FALSE) - VLOOKUP(C1642,'CHAS - Chicago'!$C$1:$J$2762,2,FALSE)</f>
        <v>3765</v>
      </c>
      <c r="E1642" t="s">
        <v>373</v>
      </c>
      <c r="F1642" s="71" t="s">
        <v>367</v>
      </c>
      <c r="G1642" s="71" t="s">
        <v>2109</v>
      </c>
      <c r="H1642" s="71" t="s">
        <v>2111</v>
      </c>
      <c r="I1642" s="71" t="s">
        <v>1667</v>
      </c>
    </row>
    <row r="1643" spans="1:9" ht="29" x14ac:dyDescent="0.35">
      <c r="A1643">
        <v>12</v>
      </c>
      <c r="B1643">
        <v>8</v>
      </c>
      <c r="C1643" t="s">
        <v>2115</v>
      </c>
      <c r="D1643" s="64">
        <f>VLOOKUP(C1643,'CHAS - Cook Co'!$C$1:$J$2762,2,FALSE) - VLOOKUP(C1643,'CHAS - Chicago'!$C$1:$J$2762,2,FALSE)</f>
        <v>375</v>
      </c>
      <c r="E1643" t="s">
        <v>373</v>
      </c>
      <c r="F1643" s="71" t="s">
        <v>367</v>
      </c>
      <c r="G1643" s="71" t="s">
        <v>2109</v>
      </c>
      <c r="H1643" s="71" t="s">
        <v>2111</v>
      </c>
      <c r="I1643" s="71" t="s">
        <v>1671</v>
      </c>
    </row>
    <row r="1644" spans="1:9" ht="29" x14ac:dyDescent="0.35">
      <c r="A1644">
        <v>12</v>
      </c>
      <c r="B1644">
        <v>9</v>
      </c>
      <c r="C1644" t="s">
        <v>2116</v>
      </c>
      <c r="D1644" s="64">
        <f>VLOOKUP(C1644,'CHAS - Cook Co'!$C$1:$J$2762,2,FALSE) - VLOOKUP(C1644,'CHAS - Chicago'!$C$1:$J$2762,2,FALSE)</f>
        <v>5405</v>
      </c>
      <c r="E1644" t="s">
        <v>366</v>
      </c>
      <c r="F1644" s="71" t="s">
        <v>367</v>
      </c>
      <c r="G1644" s="71" t="s">
        <v>2109</v>
      </c>
      <c r="H1644" s="71" t="s">
        <v>2117</v>
      </c>
      <c r="I1644" s="71" t="s">
        <v>1374</v>
      </c>
    </row>
    <row r="1645" spans="1:9" ht="29" x14ac:dyDescent="0.35">
      <c r="A1645">
        <v>12</v>
      </c>
      <c r="B1645">
        <v>10</v>
      </c>
      <c r="C1645" t="s">
        <v>2118</v>
      </c>
      <c r="D1645" s="64">
        <f>VLOOKUP(C1645,'CHAS - Cook Co'!$C$1:$J$2762,2,FALSE) - VLOOKUP(C1645,'CHAS - Chicago'!$C$1:$J$2762,2,FALSE)</f>
        <v>2035</v>
      </c>
      <c r="E1645" t="s">
        <v>373</v>
      </c>
      <c r="F1645" s="71" t="s">
        <v>367</v>
      </c>
      <c r="G1645" s="71" t="s">
        <v>2109</v>
      </c>
      <c r="H1645" s="71" t="s">
        <v>2117</v>
      </c>
      <c r="I1645" s="71" t="s">
        <v>1657</v>
      </c>
    </row>
    <row r="1646" spans="1:9" ht="29" x14ac:dyDescent="0.35">
      <c r="A1646">
        <v>12</v>
      </c>
      <c r="B1646">
        <v>11</v>
      </c>
      <c r="C1646" t="s">
        <v>2119</v>
      </c>
      <c r="D1646" s="64">
        <f>VLOOKUP(C1646,'CHAS - Cook Co'!$C$1:$J$2762,2,FALSE) - VLOOKUP(C1646,'CHAS - Chicago'!$C$1:$J$2762,2,FALSE)</f>
        <v>1850</v>
      </c>
      <c r="E1646" t="s">
        <v>373</v>
      </c>
      <c r="F1646" s="71" t="s">
        <v>367</v>
      </c>
      <c r="G1646" s="71" t="s">
        <v>2109</v>
      </c>
      <c r="H1646" s="71" t="s">
        <v>2117</v>
      </c>
      <c r="I1646" s="71" t="s">
        <v>1663</v>
      </c>
    </row>
    <row r="1647" spans="1:9" ht="29" x14ac:dyDescent="0.35">
      <c r="A1647">
        <v>12</v>
      </c>
      <c r="B1647">
        <v>12</v>
      </c>
      <c r="C1647" t="s">
        <v>2120</v>
      </c>
      <c r="D1647" s="64">
        <f>VLOOKUP(C1647,'CHAS - Cook Co'!$C$1:$J$2762,2,FALSE) - VLOOKUP(C1647,'CHAS - Chicago'!$C$1:$J$2762,2,FALSE)</f>
        <v>1525</v>
      </c>
      <c r="E1647" t="s">
        <v>373</v>
      </c>
      <c r="F1647" s="71" t="s">
        <v>367</v>
      </c>
      <c r="G1647" s="71" t="s">
        <v>2109</v>
      </c>
      <c r="H1647" s="71" t="s">
        <v>2117</v>
      </c>
      <c r="I1647" s="71" t="s">
        <v>1667</v>
      </c>
    </row>
    <row r="1648" spans="1:9" ht="29" x14ac:dyDescent="0.35">
      <c r="A1648">
        <v>12</v>
      </c>
      <c r="B1648">
        <v>13</v>
      </c>
      <c r="C1648" t="s">
        <v>2121</v>
      </c>
      <c r="D1648" s="64">
        <f>VLOOKUP(C1648,'CHAS - Cook Co'!$C$1:$J$2762,2,FALSE) - VLOOKUP(C1648,'CHAS - Chicago'!$C$1:$J$2762,2,FALSE)</f>
        <v>0</v>
      </c>
      <c r="E1648" t="s">
        <v>373</v>
      </c>
      <c r="F1648" s="71" t="s">
        <v>367</v>
      </c>
      <c r="G1648" s="71" t="s">
        <v>2109</v>
      </c>
      <c r="H1648" s="71" t="s">
        <v>2117</v>
      </c>
      <c r="I1648" s="71" t="s">
        <v>1671</v>
      </c>
    </row>
    <row r="1649" spans="1:9" ht="29" x14ac:dyDescent="0.35">
      <c r="A1649">
        <v>12</v>
      </c>
      <c r="B1649">
        <v>14</v>
      </c>
      <c r="C1649" t="s">
        <v>2122</v>
      </c>
      <c r="D1649" s="64">
        <f>VLOOKUP(C1649,'CHAS - Cook Co'!$C$1:$J$2762,2,FALSE) - VLOOKUP(C1649,'CHAS - Chicago'!$C$1:$J$2762,2,FALSE)</f>
        <v>8095</v>
      </c>
      <c r="E1649" t="s">
        <v>366</v>
      </c>
      <c r="F1649" s="71" t="s">
        <v>367</v>
      </c>
      <c r="G1649" s="71" t="s">
        <v>2109</v>
      </c>
      <c r="H1649" s="71" t="s">
        <v>2123</v>
      </c>
      <c r="I1649" s="71" t="s">
        <v>1374</v>
      </c>
    </row>
    <row r="1650" spans="1:9" ht="29" x14ac:dyDescent="0.35">
      <c r="A1650">
        <v>12</v>
      </c>
      <c r="B1650">
        <v>15</v>
      </c>
      <c r="C1650" t="s">
        <v>2124</v>
      </c>
      <c r="D1650" s="64">
        <f>VLOOKUP(C1650,'CHAS - Cook Co'!$C$1:$J$2762,2,FALSE) - VLOOKUP(C1650,'CHAS - Chicago'!$C$1:$J$2762,2,FALSE)</f>
        <v>4840</v>
      </c>
      <c r="E1650" t="s">
        <v>373</v>
      </c>
      <c r="F1650" s="71" t="s">
        <v>367</v>
      </c>
      <c r="G1650" s="71" t="s">
        <v>2109</v>
      </c>
      <c r="H1650" s="71" t="s">
        <v>2123</v>
      </c>
      <c r="I1650" s="71" t="s">
        <v>1657</v>
      </c>
    </row>
    <row r="1651" spans="1:9" ht="29" x14ac:dyDescent="0.35">
      <c r="A1651">
        <v>12</v>
      </c>
      <c r="B1651">
        <v>16</v>
      </c>
      <c r="C1651" t="s">
        <v>2125</v>
      </c>
      <c r="D1651" s="64">
        <f>VLOOKUP(C1651,'CHAS - Cook Co'!$C$1:$J$2762,2,FALSE) - VLOOKUP(C1651,'CHAS - Chicago'!$C$1:$J$2762,2,FALSE)</f>
        <v>2330</v>
      </c>
      <c r="E1651" t="s">
        <v>373</v>
      </c>
      <c r="F1651" s="71" t="s">
        <v>367</v>
      </c>
      <c r="G1651" s="71" t="s">
        <v>2109</v>
      </c>
      <c r="H1651" s="71" t="s">
        <v>2123</v>
      </c>
      <c r="I1651" s="71" t="s">
        <v>1663</v>
      </c>
    </row>
    <row r="1652" spans="1:9" ht="29" x14ac:dyDescent="0.35">
      <c r="A1652">
        <v>12</v>
      </c>
      <c r="B1652">
        <v>17</v>
      </c>
      <c r="C1652" t="s">
        <v>2126</v>
      </c>
      <c r="D1652" s="64">
        <f>VLOOKUP(C1652,'CHAS - Cook Co'!$C$1:$J$2762,2,FALSE) - VLOOKUP(C1652,'CHAS - Chicago'!$C$1:$J$2762,2,FALSE)</f>
        <v>920</v>
      </c>
      <c r="E1652" t="s">
        <v>373</v>
      </c>
      <c r="F1652" s="71" t="s">
        <v>367</v>
      </c>
      <c r="G1652" s="71" t="s">
        <v>2109</v>
      </c>
      <c r="H1652" s="71" t="s">
        <v>2123</v>
      </c>
      <c r="I1652" s="71" t="s">
        <v>1667</v>
      </c>
    </row>
    <row r="1653" spans="1:9" ht="29" x14ac:dyDescent="0.35">
      <c r="A1653">
        <v>12</v>
      </c>
      <c r="B1653">
        <v>18</v>
      </c>
      <c r="C1653" t="s">
        <v>2127</v>
      </c>
      <c r="D1653" s="64">
        <f>VLOOKUP(C1653,'CHAS - Cook Co'!$C$1:$J$2762,2,FALSE) - VLOOKUP(C1653,'CHAS - Chicago'!$C$1:$J$2762,2,FALSE)</f>
        <v>0</v>
      </c>
      <c r="E1653" t="s">
        <v>373</v>
      </c>
      <c r="F1653" s="71" t="s">
        <v>367</v>
      </c>
      <c r="G1653" s="71" t="s">
        <v>2109</v>
      </c>
      <c r="H1653" s="71" t="s">
        <v>2123</v>
      </c>
      <c r="I1653" s="71" t="s">
        <v>1671</v>
      </c>
    </row>
    <row r="1654" spans="1:9" ht="29" x14ac:dyDescent="0.35">
      <c r="A1654">
        <v>12</v>
      </c>
      <c r="B1654">
        <v>19</v>
      </c>
      <c r="C1654" t="s">
        <v>2128</v>
      </c>
      <c r="D1654" s="64">
        <f>VLOOKUP(C1654,'CHAS - Cook Co'!$C$1:$J$2762,2,FALSE) - VLOOKUP(C1654,'CHAS - Chicago'!$C$1:$J$2762,2,FALSE)</f>
        <v>30160</v>
      </c>
      <c r="E1654" t="s">
        <v>366</v>
      </c>
      <c r="F1654" s="71" t="s">
        <v>367</v>
      </c>
      <c r="G1654" s="71" t="s">
        <v>2109</v>
      </c>
      <c r="H1654" s="71" t="s">
        <v>2129</v>
      </c>
      <c r="I1654" s="71" t="s">
        <v>1374</v>
      </c>
    </row>
    <row r="1655" spans="1:9" ht="29" x14ac:dyDescent="0.35">
      <c r="A1655">
        <v>12</v>
      </c>
      <c r="B1655">
        <v>20</v>
      </c>
      <c r="C1655" t="s">
        <v>2130</v>
      </c>
      <c r="D1655" s="64">
        <f>VLOOKUP(C1655,'CHAS - Cook Co'!$C$1:$J$2762,2,FALSE) - VLOOKUP(C1655,'CHAS - Chicago'!$C$1:$J$2762,2,FALSE)</f>
        <v>26525</v>
      </c>
      <c r="E1655" t="s">
        <v>373</v>
      </c>
      <c r="F1655" s="71" t="s">
        <v>367</v>
      </c>
      <c r="G1655" s="71" t="s">
        <v>2109</v>
      </c>
      <c r="H1655" s="71" t="s">
        <v>2129</v>
      </c>
      <c r="I1655" s="71" t="s">
        <v>1657</v>
      </c>
    </row>
    <row r="1656" spans="1:9" ht="29" x14ac:dyDescent="0.35">
      <c r="A1656">
        <v>12</v>
      </c>
      <c r="B1656">
        <v>21</v>
      </c>
      <c r="C1656" t="s">
        <v>2131</v>
      </c>
      <c r="D1656" s="64">
        <f>VLOOKUP(C1656,'CHAS - Cook Co'!$C$1:$J$2762,2,FALSE) - VLOOKUP(C1656,'CHAS - Chicago'!$C$1:$J$2762,2,FALSE)</f>
        <v>3105</v>
      </c>
      <c r="E1656" t="s">
        <v>373</v>
      </c>
      <c r="F1656" s="71" t="s">
        <v>367</v>
      </c>
      <c r="G1656" s="71" t="s">
        <v>2109</v>
      </c>
      <c r="H1656" s="71" t="s">
        <v>2129</v>
      </c>
      <c r="I1656" s="71" t="s">
        <v>1663</v>
      </c>
    </row>
    <row r="1657" spans="1:9" ht="29" x14ac:dyDescent="0.35">
      <c r="A1657">
        <v>12</v>
      </c>
      <c r="B1657">
        <v>22</v>
      </c>
      <c r="C1657" t="s">
        <v>2132</v>
      </c>
      <c r="D1657" s="64">
        <f>VLOOKUP(C1657,'CHAS - Cook Co'!$C$1:$J$2762,2,FALSE) - VLOOKUP(C1657,'CHAS - Chicago'!$C$1:$J$2762,2,FALSE)</f>
        <v>535</v>
      </c>
      <c r="E1657" t="s">
        <v>373</v>
      </c>
      <c r="F1657" s="71" t="s">
        <v>367</v>
      </c>
      <c r="G1657" s="71" t="s">
        <v>2109</v>
      </c>
      <c r="H1657" s="71" t="s">
        <v>2129</v>
      </c>
      <c r="I1657" s="71" t="s">
        <v>1667</v>
      </c>
    </row>
    <row r="1658" spans="1:9" ht="29" x14ac:dyDescent="0.35">
      <c r="A1658">
        <v>12</v>
      </c>
      <c r="B1658">
        <v>23</v>
      </c>
      <c r="C1658" t="s">
        <v>2133</v>
      </c>
      <c r="D1658" s="64">
        <f>VLOOKUP(C1658,'CHAS - Cook Co'!$C$1:$J$2762,2,FALSE) - VLOOKUP(C1658,'CHAS - Chicago'!$C$1:$J$2762,2,FALSE)</f>
        <v>0</v>
      </c>
      <c r="E1658" t="s">
        <v>373</v>
      </c>
      <c r="F1658" s="71" t="s">
        <v>367</v>
      </c>
      <c r="G1658" s="71" t="s">
        <v>2109</v>
      </c>
      <c r="H1658" s="71" t="s">
        <v>2129</v>
      </c>
      <c r="I1658" s="71" t="s">
        <v>1671</v>
      </c>
    </row>
    <row r="1659" spans="1:9" ht="29" x14ac:dyDescent="0.35">
      <c r="A1659">
        <v>12</v>
      </c>
      <c r="B1659">
        <v>24</v>
      </c>
      <c r="C1659" t="s">
        <v>2134</v>
      </c>
      <c r="D1659" s="64">
        <f>VLOOKUP(C1659,'CHAS - Cook Co'!$C$1:$J$2762,2,FALSE) - VLOOKUP(C1659,'CHAS - Chicago'!$C$1:$J$2762,2,FALSE)</f>
        <v>120030</v>
      </c>
      <c r="E1659" t="s">
        <v>366</v>
      </c>
      <c r="F1659" s="71" t="s">
        <v>367</v>
      </c>
      <c r="G1659" s="71" t="s">
        <v>2135</v>
      </c>
      <c r="H1659" s="71" t="s">
        <v>363</v>
      </c>
      <c r="I1659" s="71" t="s">
        <v>1374</v>
      </c>
    </row>
    <row r="1660" spans="1:9" ht="29" x14ac:dyDescent="0.35">
      <c r="A1660">
        <v>12</v>
      </c>
      <c r="B1660">
        <v>25</v>
      </c>
      <c r="C1660" t="s">
        <v>2136</v>
      </c>
      <c r="D1660" s="64">
        <f>VLOOKUP(C1660,'CHAS - Cook Co'!$C$1:$J$2762,2,FALSE) - VLOOKUP(C1660,'CHAS - Chicago'!$C$1:$J$2762,2,FALSE)</f>
        <v>20965</v>
      </c>
      <c r="E1660" t="s">
        <v>366</v>
      </c>
      <c r="F1660" s="71" t="s">
        <v>367</v>
      </c>
      <c r="G1660" s="71" t="s">
        <v>2135</v>
      </c>
      <c r="H1660" s="71" t="s">
        <v>2111</v>
      </c>
      <c r="I1660" s="71" t="s">
        <v>1374</v>
      </c>
    </row>
    <row r="1661" spans="1:9" ht="29" x14ac:dyDescent="0.35">
      <c r="A1661">
        <v>12</v>
      </c>
      <c r="B1661">
        <v>26</v>
      </c>
      <c r="C1661" t="s">
        <v>2137</v>
      </c>
      <c r="D1661" s="64">
        <f>VLOOKUP(C1661,'CHAS - Cook Co'!$C$1:$J$2762,2,FALSE) - VLOOKUP(C1661,'CHAS - Chicago'!$C$1:$J$2762,2,FALSE)</f>
        <v>3750</v>
      </c>
      <c r="E1661" t="s">
        <v>373</v>
      </c>
      <c r="F1661" s="71" t="s">
        <v>367</v>
      </c>
      <c r="G1661" s="71" t="s">
        <v>2135</v>
      </c>
      <c r="H1661" s="71" t="s">
        <v>2111</v>
      </c>
      <c r="I1661" s="71" t="s">
        <v>1657</v>
      </c>
    </row>
    <row r="1662" spans="1:9" ht="29" x14ac:dyDescent="0.35">
      <c r="A1662">
        <v>12</v>
      </c>
      <c r="B1662">
        <v>27</v>
      </c>
      <c r="C1662" t="s">
        <v>2138</v>
      </c>
      <c r="D1662" s="64">
        <f>VLOOKUP(C1662,'CHAS - Cook Co'!$C$1:$J$2762,2,FALSE) - VLOOKUP(C1662,'CHAS - Chicago'!$C$1:$J$2762,2,FALSE)</f>
        <v>5405</v>
      </c>
      <c r="E1662" t="s">
        <v>373</v>
      </c>
      <c r="F1662" s="71" t="s">
        <v>367</v>
      </c>
      <c r="G1662" s="71" t="s">
        <v>2135</v>
      </c>
      <c r="H1662" s="71" t="s">
        <v>2111</v>
      </c>
      <c r="I1662" s="71" t="s">
        <v>1663</v>
      </c>
    </row>
    <row r="1663" spans="1:9" ht="29" x14ac:dyDescent="0.35">
      <c r="A1663">
        <v>12</v>
      </c>
      <c r="B1663">
        <v>28</v>
      </c>
      <c r="C1663" t="s">
        <v>2139</v>
      </c>
      <c r="D1663" s="64">
        <f>VLOOKUP(C1663,'CHAS - Cook Co'!$C$1:$J$2762,2,FALSE) - VLOOKUP(C1663,'CHAS - Chicago'!$C$1:$J$2762,2,FALSE)</f>
        <v>10795</v>
      </c>
      <c r="E1663" t="s">
        <v>373</v>
      </c>
      <c r="F1663" s="71" t="s">
        <v>367</v>
      </c>
      <c r="G1663" s="71" t="s">
        <v>2135</v>
      </c>
      <c r="H1663" s="71" t="s">
        <v>2111</v>
      </c>
      <c r="I1663" s="71" t="s">
        <v>1667</v>
      </c>
    </row>
    <row r="1664" spans="1:9" ht="29" x14ac:dyDescent="0.35">
      <c r="A1664">
        <v>12</v>
      </c>
      <c r="B1664">
        <v>29</v>
      </c>
      <c r="C1664" t="s">
        <v>2140</v>
      </c>
      <c r="D1664" s="64">
        <f>VLOOKUP(C1664,'CHAS - Cook Co'!$C$1:$J$2762,2,FALSE) - VLOOKUP(C1664,'CHAS - Chicago'!$C$1:$J$2762,2,FALSE)</f>
        <v>1020</v>
      </c>
      <c r="E1664" t="s">
        <v>373</v>
      </c>
      <c r="F1664" s="71" t="s">
        <v>367</v>
      </c>
      <c r="G1664" s="71" t="s">
        <v>2135</v>
      </c>
      <c r="H1664" s="71" t="s">
        <v>2111</v>
      </c>
      <c r="I1664" s="71" t="s">
        <v>1671</v>
      </c>
    </row>
    <row r="1665" spans="1:9" ht="29" x14ac:dyDescent="0.35">
      <c r="A1665">
        <v>12</v>
      </c>
      <c r="B1665">
        <v>30</v>
      </c>
      <c r="C1665" t="s">
        <v>2141</v>
      </c>
      <c r="D1665" s="64">
        <f>VLOOKUP(C1665,'CHAS - Cook Co'!$C$1:$J$2762,2,FALSE) - VLOOKUP(C1665,'CHAS - Chicago'!$C$1:$J$2762,2,FALSE)</f>
        <v>17775</v>
      </c>
      <c r="E1665" t="s">
        <v>366</v>
      </c>
      <c r="F1665" s="71" t="s">
        <v>367</v>
      </c>
      <c r="G1665" s="71" t="s">
        <v>2135</v>
      </c>
      <c r="H1665" s="71" t="s">
        <v>2117</v>
      </c>
      <c r="I1665" s="71" t="s">
        <v>1374</v>
      </c>
    </row>
    <row r="1666" spans="1:9" ht="29" x14ac:dyDescent="0.35">
      <c r="A1666">
        <v>12</v>
      </c>
      <c r="B1666">
        <v>31</v>
      </c>
      <c r="C1666" t="s">
        <v>2142</v>
      </c>
      <c r="D1666" s="64">
        <f>VLOOKUP(C1666,'CHAS - Cook Co'!$C$1:$J$2762,2,FALSE) - VLOOKUP(C1666,'CHAS - Chicago'!$C$1:$J$2762,2,FALSE)</f>
        <v>9005</v>
      </c>
      <c r="E1666" t="s">
        <v>373</v>
      </c>
      <c r="F1666" s="71" t="s">
        <v>367</v>
      </c>
      <c r="G1666" s="71" t="s">
        <v>2135</v>
      </c>
      <c r="H1666" s="71" t="s">
        <v>2117</v>
      </c>
      <c r="I1666" s="71" t="s">
        <v>1657</v>
      </c>
    </row>
    <row r="1667" spans="1:9" ht="29" x14ac:dyDescent="0.35">
      <c r="A1667">
        <v>12</v>
      </c>
      <c r="B1667">
        <v>32</v>
      </c>
      <c r="C1667" t="s">
        <v>2143</v>
      </c>
      <c r="D1667" s="64">
        <f>VLOOKUP(C1667,'CHAS - Cook Co'!$C$1:$J$2762,2,FALSE) - VLOOKUP(C1667,'CHAS - Chicago'!$C$1:$J$2762,2,FALSE)</f>
        <v>6085</v>
      </c>
      <c r="E1667" t="s">
        <v>373</v>
      </c>
      <c r="F1667" s="71" t="s">
        <v>367</v>
      </c>
      <c r="G1667" s="71" t="s">
        <v>2135</v>
      </c>
      <c r="H1667" s="71" t="s">
        <v>2117</v>
      </c>
      <c r="I1667" s="71" t="s">
        <v>1663</v>
      </c>
    </row>
    <row r="1668" spans="1:9" ht="29" x14ac:dyDescent="0.35">
      <c r="A1668">
        <v>12</v>
      </c>
      <c r="B1668">
        <v>33</v>
      </c>
      <c r="C1668" t="s">
        <v>2144</v>
      </c>
      <c r="D1668" s="64">
        <f>VLOOKUP(C1668,'CHAS - Cook Co'!$C$1:$J$2762,2,FALSE) - VLOOKUP(C1668,'CHAS - Chicago'!$C$1:$J$2762,2,FALSE)</f>
        <v>2685</v>
      </c>
      <c r="E1668" t="s">
        <v>373</v>
      </c>
      <c r="F1668" s="71" t="s">
        <v>367</v>
      </c>
      <c r="G1668" s="71" t="s">
        <v>2135</v>
      </c>
      <c r="H1668" s="71" t="s">
        <v>2117</v>
      </c>
      <c r="I1668" s="71" t="s">
        <v>1667</v>
      </c>
    </row>
    <row r="1669" spans="1:9" ht="29" x14ac:dyDescent="0.35">
      <c r="A1669">
        <v>12</v>
      </c>
      <c r="B1669">
        <v>34</v>
      </c>
      <c r="C1669" t="s">
        <v>2145</v>
      </c>
      <c r="D1669" s="64">
        <f>VLOOKUP(C1669,'CHAS - Cook Co'!$C$1:$J$2762,2,FALSE) - VLOOKUP(C1669,'CHAS - Chicago'!$C$1:$J$2762,2,FALSE)</f>
        <v>0</v>
      </c>
      <c r="E1669" t="s">
        <v>373</v>
      </c>
      <c r="F1669" s="71" t="s">
        <v>367</v>
      </c>
      <c r="G1669" s="71" t="s">
        <v>2135</v>
      </c>
      <c r="H1669" s="71" t="s">
        <v>2117</v>
      </c>
      <c r="I1669" s="71" t="s">
        <v>1671</v>
      </c>
    </row>
    <row r="1670" spans="1:9" ht="29" x14ac:dyDescent="0.35">
      <c r="A1670">
        <v>12</v>
      </c>
      <c r="B1670">
        <v>35</v>
      </c>
      <c r="C1670" t="s">
        <v>2146</v>
      </c>
      <c r="D1670" s="64">
        <f>VLOOKUP(C1670,'CHAS - Cook Co'!$C$1:$J$2762,2,FALSE) - VLOOKUP(C1670,'CHAS - Chicago'!$C$1:$J$2762,2,FALSE)</f>
        <v>22480</v>
      </c>
      <c r="E1670" t="s">
        <v>366</v>
      </c>
      <c r="F1670" s="71" t="s">
        <v>367</v>
      </c>
      <c r="G1670" s="71" t="s">
        <v>2135</v>
      </c>
      <c r="H1670" s="71" t="s">
        <v>2123</v>
      </c>
      <c r="I1670" s="71" t="s">
        <v>1374</v>
      </c>
    </row>
    <row r="1671" spans="1:9" ht="29" x14ac:dyDescent="0.35">
      <c r="A1671">
        <v>12</v>
      </c>
      <c r="B1671">
        <v>36</v>
      </c>
      <c r="C1671" t="s">
        <v>2147</v>
      </c>
      <c r="D1671" s="64">
        <f>VLOOKUP(C1671,'CHAS - Cook Co'!$C$1:$J$2762,2,FALSE) - VLOOKUP(C1671,'CHAS - Chicago'!$C$1:$J$2762,2,FALSE)</f>
        <v>15890</v>
      </c>
      <c r="E1671" t="s">
        <v>373</v>
      </c>
      <c r="F1671" s="71" t="s">
        <v>367</v>
      </c>
      <c r="G1671" s="71" t="s">
        <v>2135</v>
      </c>
      <c r="H1671" s="71" t="s">
        <v>2123</v>
      </c>
      <c r="I1671" s="71" t="s">
        <v>1657</v>
      </c>
    </row>
    <row r="1672" spans="1:9" ht="29" x14ac:dyDescent="0.35">
      <c r="A1672">
        <v>12</v>
      </c>
      <c r="B1672">
        <v>37</v>
      </c>
      <c r="C1672" t="s">
        <v>2148</v>
      </c>
      <c r="D1672" s="64">
        <f>VLOOKUP(C1672,'CHAS - Cook Co'!$C$1:$J$2762,2,FALSE) - VLOOKUP(C1672,'CHAS - Chicago'!$C$1:$J$2762,2,FALSE)</f>
        <v>5465</v>
      </c>
      <c r="E1672" t="s">
        <v>373</v>
      </c>
      <c r="F1672" s="71" t="s">
        <v>367</v>
      </c>
      <c r="G1672" s="71" t="s">
        <v>2135</v>
      </c>
      <c r="H1672" s="71" t="s">
        <v>2123</v>
      </c>
      <c r="I1672" s="71" t="s">
        <v>1663</v>
      </c>
    </row>
    <row r="1673" spans="1:9" ht="29" x14ac:dyDescent="0.35">
      <c r="A1673">
        <v>12</v>
      </c>
      <c r="B1673">
        <v>38</v>
      </c>
      <c r="C1673" t="s">
        <v>2149</v>
      </c>
      <c r="D1673" s="64">
        <f>VLOOKUP(C1673,'CHAS - Cook Co'!$C$1:$J$2762,2,FALSE) - VLOOKUP(C1673,'CHAS - Chicago'!$C$1:$J$2762,2,FALSE)</f>
        <v>1120</v>
      </c>
      <c r="E1673" t="s">
        <v>373</v>
      </c>
      <c r="F1673" s="71" t="s">
        <v>367</v>
      </c>
      <c r="G1673" s="71" t="s">
        <v>2135</v>
      </c>
      <c r="H1673" s="71" t="s">
        <v>2123</v>
      </c>
      <c r="I1673" s="71" t="s">
        <v>1667</v>
      </c>
    </row>
    <row r="1674" spans="1:9" ht="29" x14ac:dyDescent="0.35">
      <c r="A1674">
        <v>12</v>
      </c>
      <c r="B1674">
        <v>39</v>
      </c>
      <c r="C1674" t="s">
        <v>2150</v>
      </c>
      <c r="D1674" s="64">
        <f>VLOOKUP(C1674,'CHAS - Cook Co'!$C$1:$J$2762,2,FALSE) - VLOOKUP(C1674,'CHAS - Chicago'!$C$1:$J$2762,2,FALSE)</f>
        <v>0</v>
      </c>
      <c r="E1674" t="s">
        <v>373</v>
      </c>
      <c r="F1674" s="71" t="s">
        <v>367</v>
      </c>
      <c r="G1674" s="71" t="s">
        <v>2135</v>
      </c>
      <c r="H1674" s="71" t="s">
        <v>2123</v>
      </c>
      <c r="I1674" s="71" t="s">
        <v>1671</v>
      </c>
    </row>
    <row r="1675" spans="1:9" ht="29" x14ac:dyDescent="0.35">
      <c r="A1675">
        <v>12</v>
      </c>
      <c r="B1675">
        <v>40</v>
      </c>
      <c r="C1675" t="s">
        <v>2151</v>
      </c>
      <c r="D1675" s="64">
        <f>VLOOKUP(C1675,'CHAS - Cook Co'!$C$1:$J$2762,2,FALSE) - VLOOKUP(C1675,'CHAS - Chicago'!$C$1:$J$2762,2,FALSE)</f>
        <v>58810</v>
      </c>
      <c r="E1675" t="s">
        <v>366</v>
      </c>
      <c r="F1675" s="71" t="s">
        <v>367</v>
      </c>
      <c r="G1675" s="71" t="s">
        <v>2135</v>
      </c>
      <c r="H1675" s="71" t="s">
        <v>2129</v>
      </c>
      <c r="I1675" s="71" t="s">
        <v>1374</v>
      </c>
    </row>
    <row r="1676" spans="1:9" ht="29" x14ac:dyDescent="0.35">
      <c r="A1676">
        <v>12</v>
      </c>
      <c r="B1676">
        <v>41</v>
      </c>
      <c r="C1676" t="s">
        <v>2152</v>
      </c>
      <c r="D1676" s="64">
        <f>VLOOKUP(C1676,'CHAS - Cook Co'!$C$1:$J$2762,2,FALSE) - VLOOKUP(C1676,'CHAS - Chicago'!$C$1:$J$2762,2,FALSE)</f>
        <v>54520</v>
      </c>
      <c r="E1676" t="s">
        <v>373</v>
      </c>
      <c r="F1676" s="71" t="s">
        <v>367</v>
      </c>
      <c r="G1676" s="71" t="s">
        <v>2135</v>
      </c>
      <c r="H1676" s="71" t="s">
        <v>2129</v>
      </c>
      <c r="I1676" s="71" t="s">
        <v>1657</v>
      </c>
    </row>
    <row r="1677" spans="1:9" ht="29" x14ac:dyDescent="0.35">
      <c r="A1677">
        <v>12</v>
      </c>
      <c r="B1677">
        <v>42</v>
      </c>
      <c r="C1677" t="s">
        <v>2153</v>
      </c>
      <c r="D1677" s="64">
        <f>VLOOKUP(C1677,'CHAS - Cook Co'!$C$1:$J$2762,2,FALSE) - VLOOKUP(C1677,'CHAS - Chicago'!$C$1:$J$2762,2,FALSE)</f>
        <v>3650</v>
      </c>
      <c r="E1677" t="s">
        <v>373</v>
      </c>
      <c r="F1677" s="71" t="s">
        <v>367</v>
      </c>
      <c r="G1677" s="71" t="s">
        <v>2135</v>
      </c>
      <c r="H1677" s="71" t="s">
        <v>2129</v>
      </c>
      <c r="I1677" s="71" t="s">
        <v>1663</v>
      </c>
    </row>
    <row r="1678" spans="1:9" ht="29" x14ac:dyDescent="0.35">
      <c r="A1678">
        <v>12</v>
      </c>
      <c r="B1678">
        <v>43</v>
      </c>
      <c r="C1678" t="s">
        <v>2154</v>
      </c>
      <c r="D1678" s="64">
        <f>VLOOKUP(C1678,'CHAS - Cook Co'!$C$1:$J$2762,2,FALSE) - VLOOKUP(C1678,'CHAS - Chicago'!$C$1:$J$2762,2,FALSE)</f>
        <v>635</v>
      </c>
      <c r="E1678" t="s">
        <v>373</v>
      </c>
      <c r="F1678" s="71" t="s">
        <v>367</v>
      </c>
      <c r="G1678" s="71" t="s">
        <v>2135</v>
      </c>
      <c r="H1678" s="71" t="s">
        <v>2129</v>
      </c>
      <c r="I1678" s="71" t="s">
        <v>1667</v>
      </c>
    </row>
    <row r="1679" spans="1:9" ht="29" x14ac:dyDescent="0.35">
      <c r="A1679">
        <v>12</v>
      </c>
      <c r="B1679">
        <v>44</v>
      </c>
      <c r="C1679" t="s">
        <v>2155</v>
      </c>
      <c r="D1679" s="64">
        <f>VLOOKUP(C1679,'CHAS - Cook Co'!$C$1:$J$2762,2,FALSE) - VLOOKUP(C1679,'CHAS - Chicago'!$C$1:$J$2762,2,FALSE)</f>
        <v>0</v>
      </c>
      <c r="E1679" t="s">
        <v>373</v>
      </c>
      <c r="F1679" s="71" t="s">
        <v>367</v>
      </c>
      <c r="G1679" s="71" t="s">
        <v>2135</v>
      </c>
      <c r="H1679" s="71" t="s">
        <v>2129</v>
      </c>
      <c r="I1679" s="71" t="s">
        <v>1671</v>
      </c>
    </row>
    <row r="1680" spans="1:9" ht="29" x14ac:dyDescent="0.35">
      <c r="A1680">
        <v>12</v>
      </c>
      <c r="B1680">
        <v>45</v>
      </c>
      <c r="C1680" t="s">
        <v>2156</v>
      </c>
      <c r="D1680" s="64">
        <f>VLOOKUP(C1680,'CHAS - Cook Co'!$C$1:$J$2762,2,FALSE) - VLOOKUP(C1680,'CHAS - Chicago'!$C$1:$J$2762,2,FALSE)</f>
        <v>213435</v>
      </c>
      <c r="E1680" t="s">
        <v>366</v>
      </c>
      <c r="F1680" s="71" t="s">
        <v>367</v>
      </c>
      <c r="G1680" s="71" t="s">
        <v>2157</v>
      </c>
      <c r="H1680" s="71" t="s">
        <v>363</v>
      </c>
      <c r="I1680" s="71" t="s">
        <v>1374</v>
      </c>
    </row>
    <row r="1681" spans="1:9" ht="29" x14ac:dyDescent="0.35">
      <c r="A1681">
        <v>12</v>
      </c>
      <c r="B1681">
        <v>46</v>
      </c>
      <c r="C1681" t="s">
        <v>2158</v>
      </c>
      <c r="D1681" s="64">
        <f>VLOOKUP(C1681,'CHAS - Cook Co'!$C$1:$J$2762,2,FALSE) - VLOOKUP(C1681,'CHAS - Chicago'!$C$1:$J$2762,2,FALSE)</f>
        <v>43625</v>
      </c>
      <c r="E1681" t="s">
        <v>366</v>
      </c>
      <c r="F1681" s="71" t="s">
        <v>367</v>
      </c>
      <c r="G1681" s="71" t="s">
        <v>2157</v>
      </c>
      <c r="H1681" s="71" t="s">
        <v>2111</v>
      </c>
      <c r="I1681" s="71" t="s">
        <v>1374</v>
      </c>
    </row>
    <row r="1682" spans="1:9" ht="29" x14ac:dyDescent="0.35">
      <c r="A1682">
        <v>12</v>
      </c>
      <c r="B1682">
        <v>47</v>
      </c>
      <c r="C1682" t="s">
        <v>2159</v>
      </c>
      <c r="D1682" s="64">
        <f>VLOOKUP(C1682,'CHAS - Cook Co'!$C$1:$J$2762,2,FALSE) - VLOOKUP(C1682,'CHAS - Chicago'!$C$1:$J$2762,2,FALSE)</f>
        <v>8660</v>
      </c>
      <c r="E1682" t="s">
        <v>373</v>
      </c>
      <c r="F1682" s="71" t="s">
        <v>367</v>
      </c>
      <c r="G1682" s="71" t="s">
        <v>2157</v>
      </c>
      <c r="H1682" s="71" t="s">
        <v>2111</v>
      </c>
      <c r="I1682" s="71" t="s">
        <v>1657</v>
      </c>
    </row>
    <row r="1683" spans="1:9" ht="29" x14ac:dyDescent="0.35">
      <c r="A1683">
        <v>12</v>
      </c>
      <c r="B1683">
        <v>48</v>
      </c>
      <c r="C1683" t="s">
        <v>2160</v>
      </c>
      <c r="D1683" s="64">
        <f>VLOOKUP(C1683,'CHAS - Cook Co'!$C$1:$J$2762,2,FALSE) - VLOOKUP(C1683,'CHAS - Chicago'!$C$1:$J$2762,2,FALSE)</f>
        <v>10920</v>
      </c>
      <c r="E1683" t="s">
        <v>373</v>
      </c>
      <c r="F1683" s="71" t="s">
        <v>367</v>
      </c>
      <c r="G1683" s="71" t="s">
        <v>2157</v>
      </c>
      <c r="H1683" s="71" t="s">
        <v>2111</v>
      </c>
      <c r="I1683" s="71" t="s">
        <v>1663</v>
      </c>
    </row>
    <row r="1684" spans="1:9" ht="29" x14ac:dyDescent="0.35">
      <c r="A1684">
        <v>12</v>
      </c>
      <c r="B1684">
        <v>49</v>
      </c>
      <c r="C1684" t="s">
        <v>2161</v>
      </c>
      <c r="D1684" s="64">
        <f>VLOOKUP(C1684,'CHAS - Cook Co'!$C$1:$J$2762,2,FALSE) - VLOOKUP(C1684,'CHAS - Chicago'!$C$1:$J$2762,2,FALSE)</f>
        <v>22050</v>
      </c>
      <c r="E1684" t="s">
        <v>373</v>
      </c>
      <c r="F1684" s="71" t="s">
        <v>367</v>
      </c>
      <c r="G1684" s="71" t="s">
        <v>2157</v>
      </c>
      <c r="H1684" s="71" t="s">
        <v>2111</v>
      </c>
      <c r="I1684" s="71" t="s">
        <v>1667</v>
      </c>
    </row>
    <row r="1685" spans="1:9" ht="29" x14ac:dyDescent="0.35">
      <c r="A1685">
        <v>12</v>
      </c>
      <c r="B1685">
        <v>50</v>
      </c>
      <c r="C1685" t="s">
        <v>2162</v>
      </c>
      <c r="D1685" s="64">
        <f>VLOOKUP(C1685,'CHAS - Cook Co'!$C$1:$J$2762,2,FALSE) - VLOOKUP(C1685,'CHAS - Chicago'!$C$1:$J$2762,2,FALSE)</f>
        <v>2000</v>
      </c>
      <c r="E1685" t="s">
        <v>373</v>
      </c>
      <c r="F1685" s="71" t="s">
        <v>367</v>
      </c>
      <c r="G1685" s="71" t="s">
        <v>2157</v>
      </c>
      <c r="H1685" s="71" t="s">
        <v>2111</v>
      </c>
      <c r="I1685" s="71" t="s">
        <v>1671</v>
      </c>
    </row>
    <row r="1686" spans="1:9" ht="29" x14ac:dyDescent="0.35">
      <c r="A1686">
        <v>12</v>
      </c>
      <c r="B1686">
        <v>51</v>
      </c>
      <c r="C1686" t="s">
        <v>2163</v>
      </c>
      <c r="D1686" s="64">
        <f>VLOOKUP(C1686,'CHAS - Cook Co'!$C$1:$J$2762,2,FALSE) - VLOOKUP(C1686,'CHAS - Chicago'!$C$1:$J$2762,2,FALSE)</f>
        <v>37475</v>
      </c>
      <c r="E1686" t="s">
        <v>366</v>
      </c>
      <c r="F1686" s="71" t="s">
        <v>367</v>
      </c>
      <c r="G1686" s="71" t="s">
        <v>2157</v>
      </c>
      <c r="H1686" s="71" t="s">
        <v>2117</v>
      </c>
      <c r="I1686" s="71" t="s">
        <v>1374</v>
      </c>
    </row>
    <row r="1687" spans="1:9" ht="29" x14ac:dyDescent="0.35">
      <c r="A1687">
        <v>12</v>
      </c>
      <c r="B1687">
        <v>52</v>
      </c>
      <c r="C1687" t="s">
        <v>2164</v>
      </c>
      <c r="D1687" s="64">
        <f>VLOOKUP(C1687,'CHAS - Cook Co'!$C$1:$J$2762,2,FALSE) - VLOOKUP(C1687,'CHAS - Chicago'!$C$1:$J$2762,2,FALSE)</f>
        <v>20045</v>
      </c>
      <c r="E1687" t="s">
        <v>373</v>
      </c>
      <c r="F1687" s="71" t="s">
        <v>367</v>
      </c>
      <c r="G1687" s="71" t="s">
        <v>2157</v>
      </c>
      <c r="H1687" s="71" t="s">
        <v>2117</v>
      </c>
      <c r="I1687" s="71" t="s">
        <v>1657</v>
      </c>
    </row>
    <row r="1688" spans="1:9" ht="29" x14ac:dyDescent="0.35">
      <c r="A1688">
        <v>12</v>
      </c>
      <c r="B1688">
        <v>53</v>
      </c>
      <c r="C1688" t="s">
        <v>2165</v>
      </c>
      <c r="D1688" s="64">
        <f>VLOOKUP(C1688,'CHAS - Cook Co'!$C$1:$J$2762,2,FALSE) - VLOOKUP(C1688,'CHAS - Chicago'!$C$1:$J$2762,2,FALSE)</f>
        <v>12800</v>
      </c>
      <c r="E1688" t="s">
        <v>373</v>
      </c>
      <c r="F1688" s="71" t="s">
        <v>367</v>
      </c>
      <c r="G1688" s="71" t="s">
        <v>2157</v>
      </c>
      <c r="H1688" s="71" t="s">
        <v>2117</v>
      </c>
      <c r="I1688" s="71" t="s">
        <v>1663</v>
      </c>
    </row>
    <row r="1689" spans="1:9" ht="29" x14ac:dyDescent="0.35">
      <c r="A1689">
        <v>12</v>
      </c>
      <c r="B1689">
        <v>54</v>
      </c>
      <c r="C1689" t="s">
        <v>2166</v>
      </c>
      <c r="D1689" s="64">
        <f>VLOOKUP(C1689,'CHAS - Cook Co'!$C$1:$J$2762,2,FALSE) - VLOOKUP(C1689,'CHAS - Chicago'!$C$1:$J$2762,2,FALSE)</f>
        <v>4630</v>
      </c>
      <c r="E1689" t="s">
        <v>373</v>
      </c>
      <c r="F1689" s="71" t="s">
        <v>367</v>
      </c>
      <c r="G1689" s="71" t="s">
        <v>2157</v>
      </c>
      <c r="H1689" s="71" t="s">
        <v>2117</v>
      </c>
      <c r="I1689" s="71" t="s">
        <v>1667</v>
      </c>
    </row>
    <row r="1690" spans="1:9" ht="29" x14ac:dyDescent="0.35">
      <c r="A1690">
        <v>12</v>
      </c>
      <c r="B1690">
        <v>55</v>
      </c>
      <c r="C1690" t="s">
        <v>2167</v>
      </c>
      <c r="D1690" s="64">
        <f>VLOOKUP(C1690,'CHAS - Cook Co'!$C$1:$J$2762,2,FALSE) - VLOOKUP(C1690,'CHAS - Chicago'!$C$1:$J$2762,2,FALSE)</f>
        <v>0</v>
      </c>
      <c r="E1690" t="s">
        <v>373</v>
      </c>
      <c r="F1690" s="71" t="s">
        <v>367</v>
      </c>
      <c r="G1690" s="71" t="s">
        <v>2157</v>
      </c>
      <c r="H1690" s="71" t="s">
        <v>2117</v>
      </c>
      <c r="I1690" s="71" t="s">
        <v>1671</v>
      </c>
    </row>
    <row r="1691" spans="1:9" ht="29" x14ac:dyDescent="0.35">
      <c r="A1691">
        <v>12</v>
      </c>
      <c r="B1691">
        <v>56</v>
      </c>
      <c r="C1691" t="s">
        <v>2168</v>
      </c>
      <c r="D1691" s="64">
        <f>VLOOKUP(C1691,'CHAS - Cook Co'!$C$1:$J$2762,2,FALSE) - VLOOKUP(C1691,'CHAS - Chicago'!$C$1:$J$2762,2,FALSE)</f>
        <v>45295</v>
      </c>
      <c r="E1691" t="s">
        <v>366</v>
      </c>
      <c r="F1691" s="71" t="s">
        <v>367</v>
      </c>
      <c r="G1691" s="71" t="s">
        <v>2157</v>
      </c>
      <c r="H1691" s="71" t="s">
        <v>2123</v>
      </c>
      <c r="I1691" s="71" t="s">
        <v>1374</v>
      </c>
    </row>
    <row r="1692" spans="1:9" ht="29" x14ac:dyDescent="0.35">
      <c r="A1692">
        <v>12</v>
      </c>
      <c r="B1692">
        <v>57</v>
      </c>
      <c r="C1692" t="s">
        <v>2169</v>
      </c>
      <c r="D1692" s="64">
        <f>VLOOKUP(C1692,'CHAS - Cook Co'!$C$1:$J$2762,2,FALSE) - VLOOKUP(C1692,'CHAS - Chicago'!$C$1:$J$2762,2,FALSE)</f>
        <v>35270</v>
      </c>
      <c r="E1692" t="s">
        <v>373</v>
      </c>
      <c r="F1692" s="71" t="s">
        <v>367</v>
      </c>
      <c r="G1692" s="71" t="s">
        <v>2157</v>
      </c>
      <c r="H1692" s="71" t="s">
        <v>2123</v>
      </c>
      <c r="I1692" s="71" t="s">
        <v>1657</v>
      </c>
    </row>
    <row r="1693" spans="1:9" ht="29" x14ac:dyDescent="0.35">
      <c r="A1693">
        <v>12</v>
      </c>
      <c r="B1693">
        <v>58</v>
      </c>
      <c r="C1693" t="s">
        <v>2170</v>
      </c>
      <c r="D1693" s="64">
        <f>VLOOKUP(C1693,'CHAS - Cook Co'!$C$1:$J$2762,2,FALSE) - VLOOKUP(C1693,'CHAS - Chicago'!$C$1:$J$2762,2,FALSE)</f>
        <v>9060</v>
      </c>
      <c r="E1693" t="s">
        <v>373</v>
      </c>
      <c r="F1693" s="71" t="s">
        <v>367</v>
      </c>
      <c r="G1693" s="71" t="s">
        <v>2157</v>
      </c>
      <c r="H1693" s="71" t="s">
        <v>2123</v>
      </c>
      <c r="I1693" s="71" t="s">
        <v>1663</v>
      </c>
    </row>
    <row r="1694" spans="1:9" ht="29" x14ac:dyDescent="0.35">
      <c r="A1694">
        <v>12</v>
      </c>
      <c r="B1694">
        <v>59</v>
      </c>
      <c r="C1694" t="s">
        <v>2171</v>
      </c>
      <c r="D1694" s="64">
        <f>VLOOKUP(C1694,'CHAS - Cook Co'!$C$1:$J$2762,2,FALSE) - VLOOKUP(C1694,'CHAS - Chicago'!$C$1:$J$2762,2,FALSE)</f>
        <v>965</v>
      </c>
      <c r="E1694" t="s">
        <v>373</v>
      </c>
      <c r="F1694" s="71" t="s">
        <v>367</v>
      </c>
      <c r="G1694" s="71" t="s">
        <v>2157</v>
      </c>
      <c r="H1694" s="71" t="s">
        <v>2123</v>
      </c>
      <c r="I1694" s="71" t="s">
        <v>1667</v>
      </c>
    </row>
    <row r="1695" spans="1:9" ht="29" x14ac:dyDescent="0.35">
      <c r="A1695">
        <v>12</v>
      </c>
      <c r="B1695">
        <v>60</v>
      </c>
      <c r="C1695" t="s">
        <v>2172</v>
      </c>
      <c r="D1695" s="64">
        <f>VLOOKUP(C1695,'CHAS - Cook Co'!$C$1:$J$2762,2,FALSE) - VLOOKUP(C1695,'CHAS - Chicago'!$C$1:$J$2762,2,FALSE)</f>
        <v>0</v>
      </c>
      <c r="E1695" t="s">
        <v>373</v>
      </c>
      <c r="F1695" s="71" t="s">
        <v>367</v>
      </c>
      <c r="G1695" s="71" t="s">
        <v>2157</v>
      </c>
      <c r="H1695" s="71" t="s">
        <v>2123</v>
      </c>
      <c r="I1695" s="71" t="s">
        <v>1671</v>
      </c>
    </row>
    <row r="1696" spans="1:9" ht="29" x14ac:dyDescent="0.35">
      <c r="A1696">
        <v>12</v>
      </c>
      <c r="B1696">
        <v>61</v>
      </c>
      <c r="C1696" t="s">
        <v>2173</v>
      </c>
      <c r="D1696" s="64">
        <f>VLOOKUP(C1696,'CHAS - Cook Co'!$C$1:$J$2762,2,FALSE) - VLOOKUP(C1696,'CHAS - Chicago'!$C$1:$J$2762,2,FALSE)</f>
        <v>87030</v>
      </c>
      <c r="E1696" t="s">
        <v>366</v>
      </c>
      <c r="F1696" s="71" t="s">
        <v>367</v>
      </c>
      <c r="G1696" s="71" t="s">
        <v>2157</v>
      </c>
      <c r="H1696" s="71" t="s">
        <v>2129</v>
      </c>
      <c r="I1696" s="71" t="s">
        <v>1374</v>
      </c>
    </row>
    <row r="1697" spans="1:9" ht="29" x14ac:dyDescent="0.35">
      <c r="A1697">
        <v>12</v>
      </c>
      <c r="B1697">
        <v>62</v>
      </c>
      <c r="C1697" t="s">
        <v>2174</v>
      </c>
      <c r="D1697" s="64">
        <f>VLOOKUP(C1697,'CHAS - Cook Co'!$C$1:$J$2762,2,FALSE) - VLOOKUP(C1697,'CHAS - Chicago'!$C$1:$J$2762,2,FALSE)</f>
        <v>82515</v>
      </c>
      <c r="E1697" t="s">
        <v>373</v>
      </c>
      <c r="F1697" s="71" t="s">
        <v>367</v>
      </c>
      <c r="G1697" s="71" t="s">
        <v>2157</v>
      </c>
      <c r="H1697" s="71" t="s">
        <v>2129</v>
      </c>
      <c r="I1697" s="71" t="s">
        <v>1657</v>
      </c>
    </row>
    <row r="1698" spans="1:9" ht="29" x14ac:dyDescent="0.35">
      <c r="A1698">
        <v>12</v>
      </c>
      <c r="B1698">
        <v>63</v>
      </c>
      <c r="C1698" t="s">
        <v>2175</v>
      </c>
      <c r="D1698" s="64">
        <f>VLOOKUP(C1698,'CHAS - Cook Co'!$C$1:$J$2762,2,FALSE) - VLOOKUP(C1698,'CHAS - Chicago'!$C$1:$J$2762,2,FALSE)</f>
        <v>4145</v>
      </c>
      <c r="E1698" t="s">
        <v>373</v>
      </c>
      <c r="F1698" s="71" t="s">
        <v>367</v>
      </c>
      <c r="G1698" s="71" t="s">
        <v>2157</v>
      </c>
      <c r="H1698" s="71" t="s">
        <v>2129</v>
      </c>
      <c r="I1698" s="71" t="s">
        <v>1663</v>
      </c>
    </row>
    <row r="1699" spans="1:9" ht="29" x14ac:dyDescent="0.35">
      <c r="A1699">
        <v>12</v>
      </c>
      <c r="B1699">
        <v>64</v>
      </c>
      <c r="C1699" t="s">
        <v>2176</v>
      </c>
      <c r="D1699" s="64">
        <f>VLOOKUP(C1699,'CHAS - Cook Co'!$C$1:$J$2762,2,FALSE) - VLOOKUP(C1699,'CHAS - Chicago'!$C$1:$J$2762,2,FALSE)</f>
        <v>370</v>
      </c>
      <c r="E1699" t="s">
        <v>373</v>
      </c>
      <c r="F1699" s="71" t="s">
        <v>367</v>
      </c>
      <c r="G1699" s="71" t="s">
        <v>2157</v>
      </c>
      <c r="H1699" s="71" t="s">
        <v>2129</v>
      </c>
      <c r="I1699" s="71" t="s">
        <v>1667</v>
      </c>
    </row>
    <row r="1700" spans="1:9" ht="29" x14ac:dyDescent="0.35">
      <c r="A1700">
        <v>12</v>
      </c>
      <c r="B1700">
        <v>65</v>
      </c>
      <c r="C1700" t="s">
        <v>2177</v>
      </c>
      <c r="D1700" s="64">
        <f>VLOOKUP(C1700,'CHAS - Cook Co'!$C$1:$J$2762,2,FALSE) - VLOOKUP(C1700,'CHAS - Chicago'!$C$1:$J$2762,2,FALSE)</f>
        <v>0</v>
      </c>
      <c r="E1700" t="s">
        <v>373</v>
      </c>
      <c r="F1700" s="71" t="s">
        <v>367</v>
      </c>
      <c r="G1700" s="71" t="s">
        <v>2157</v>
      </c>
      <c r="H1700" s="71" t="s">
        <v>2129</v>
      </c>
      <c r="I1700" s="71" t="s">
        <v>1671</v>
      </c>
    </row>
    <row r="1701" spans="1:9" ht="29" x14ac:dyDescent="0.35">
      <c r="A1701">
        <v>12</v>
      </c>
      <c r="B1701">
        <v>66</v>
      </c>
      <c r="C1701" t="s">
        <v>2178</v>
      </c>
      <c r="D1701" s="64">
        <f>VLOOKUP(C1701,'CHAS - Cook Co'!$C$1:$J$2762,2,FALSE) - VLOOKUP(C1701,'CHAS - Chicago'!$C$1:$J$2762,2,FALSE)</f>
        <v>179870</v>
      </c>
      <c r="E1701" t="s">
        <v>366</v>
      </c>
      <c r="F1701" s="71" t="s">
        <v>367</v>
      </c>
      <c r="G1701" s="71" t="s">
        <v>2179</v>
      </c>
      <c r="H1701" s="71" t="s">
        <v>363</v>
      </c>
      <c r="I1701" s="71" t="s">
        <v>1374</v>
      </c>
    </row>
    <row r="1702" spans="1:9" ht="29" x14ac:dyDescent="0.35">
      <c r="A1702">
        <v>12</v>
      </c>
      <c r="B1702">
        <v>67</v>
      </c>
      <c r="C1702" t="s">
        <v>2180</v>
      </c>
      <c r="D1702" s="64">
        <f>VLOOKUP(C1702,'CHAS - Cook Co'!$C$1:$J$2762,2,FALSE) - VLOOKUP(C1702,'CHAS - Chicago'!$C$1:$J$2762,2,FALSE)</f>
        <v>36295</v>
      </c>
      <c r="E1702" t="s">
        <v>366</v>
      </c>
      <c r="F1702" s="71" t="s">
        <v>367</v>
      </c>
      <c r="G1702" s="71" t="s">
        <v>2179</v>
      </c>
      <c r="H1702" s="71" t="s">
        <v>2111</v>
      </c>
      <c r="I1702" s="71" t="s">
        <v>1374</v>
      </c>
    </row>
    <row r="1703" spans="1:9" ht="29" x14ac:dyDescent="0.35">
      <c r="A1703">
        <v>12</v>
      </c>
      <c r="B1703">
        <v>68</v>
      </c>
      <c r="C1703" t="s">
        <v>2181</v>
      </c>
      <c r="D1703" s="64">
        <f>VLOOKUP(C1703,'CHAS - Cook Co'!$C$1:$J$2762,2,FALSE) - VLOOKUP(C1703,'CHAS - Chicago'!$C$1:$J$2762,2,FALSE)</f>
        <v>8435</v>
      </c>
      <c r="E1703" t="s">
        <v>373</v>
      </c>
      <c r="F1703" s="71" t="s">
        <v>367</v>
      </c>
      <c r="G1703" s="71" t="s">
        <v>2179</v>
      </c>
      <c r="H1703" s="71" t="s">
        <v>2111</v>
      </c>
      <c r="I1703" s="71" t="s">
        <v>1657</v>
      </c>
    </row>
    <row r="1704" spans="1:9" ht="29" x14ac:dyDescent="0.35">
      <c r="A1704">
        <v>12</v>
      </c>
      <c r="B1704">
        <v>69</v>
      </c>
      <c r="C1704" t="s">
        <v>2182</v>
      </c>
      <c r="D1704" s="64">
        <f>VLOOKUP(C1704,'CHAS - Cook Co'!$C$1:$J$2762,2,FALSE) - VLOOKUP(C1704,'CHAS - Chicago'!$C$1:$J$2762,2,FALSE)</f>
        <v>8750</v>
      </c>
      <c r="E1704" t="s">
        <v>373</v>
      </c>
      <c r="F1704" s="71" t="s">
        <v>367</v>
      </c>
      <c r="G1704" s="71" t="s">
        <v>2179</v>
      </c>
      <c r="H1704" s="71" t="s">
        <v>2111</v>
      </c>
      <c r="I1704" s="71" t="s">
        <v>1663</v>
      </c>
    </row>
    <row r="1705" spans="1:9" ht="29" x14ac:dyDescent="0.35">
      <c r="A1705">
        <v>12</v>
      </c>
      <c r="B1705">
        <v>70</v>
      </c>
      <c r="C1705" t="s">
        <v>2183</v>
      </c>
      <c r="D1705" s="64">
        <f>VLOOKUP(C1705,'CHAS - Cook Co'!$C$1:$J$2762,2,FALSE) - VLOOKUP(C1705,'CHAS - Chicago'!$C$1:$J$2762,2,FALSE)</f>
        <v>17465</v>
      </c>
      <c r="E1705" t="s">
        <v>373</v>
      </c>
      <c r="F1705" s="71" t="s">
        <v>367</v>
      </c>
      <c r="G1705" s="71" t="s">
        <v>2179</v>
      </c>
      <c r="H1705" s="71" t="s">
        <v>2111</v>
      </c>
      <c r="I1705" s="71" t="s">
        <v>1667</v>
      </c>
    </row>
    <row r="1706" spans="1:9" ht="29" x14ac:dyDescent="0.35">
      <c r="A1706">
        <v>12</v>
      </c>
      <c r="B1706">
        <v>71</v>
      </c>
      <c r="C1706" t="s">
        <v>2184</v>
      </c>
      <c r="D1706" s="64">
        <f>VLOOKUP(C1706,'CHAS - Cook Co'!$C$1:$J$2762,2,FALSE) - VLOOKUP(C1706,'CHAS - Chicago'!$C$1:$J$2762,2,FALSE)</f>
        <v>1645</v>
      </c>
      <c r="E1706" t="s">
        <v>373</v>
      </c>
      <c r="F1706" s="71" t="s">
        <v>367</v>
      </c>
      <c r="G1706" s="71" t="s">
        <v>2179</v>
      </c>
      <c r="H1706" s="71" t="s">
        <v>2111</v>
      </c>
      <c r="I1706" s="71" t="s">
        <v>1671</v>
      </c>
    </row>
    <row r="1707" spans="1:9" ht="29" x14ac:dyDescent="0.35">
      <c r="A1707">
        <v>12</v>
      </c>
      <c r="B1707">
        <v>72</v>
      </c>
      <c r="C1707" t="s">
        <v>2185</v>
      </c>
      <c r="D1707" s="64">
        <f>VLOOKUP(C1707,'CHAS - Cook Co'!$C$1:$J$2762,2,FALSE) - VLOOKUP(C1707,'CHAS - Chicago'!$C$1:$J$2762,2,FALSE)</f>
        <v>30800</v>
      </c>
      <c r="E1707" t="s">
        <v>366</v>
      </c>
      <c r="F1707" s="71" t="s">
        <v>367</v>
      </c>
      <c r="G1707" s="71" t="s">
        <v>2179</v>
      </c>
      <c r="H1707" s="71" t="s">
        <v>2117</v>
      </c>
      <c r="I1707" s="71" t="s">
        <v>1374</v>
      </c>
    </row>
    <row r="1708" spans="1:9" ht="29" x14ac:dyDescent="0.35">
      <c r="A1708">
        <v>12</v>
      </c>
      <c r="B1708">
        <v>73</v>
      </c>
      <c r="C1708" t="s">
        <v>2186</v>
      </c>
      <c r="D1708" s="64">
        <f>VLOOKUP(C1708,'CHAS - Cook Co'!$C$1:$J$2762,2,FALSE) - VLOOKUP(C1708,'CHAS - Chicago'!$C$1:$J$2762,2,FALSE)</f>
        <v>16090</v>
      </c>
      <c r="E1708" t="s">
        <v>373</v>
      </c>
      <c r="F1708" s="71" t="s">
        <v>367</v>
      </c>
      <c r="G1708" s="71" t="s">
        <v>2179</v>
      </c>
      <c r="H1708" s="71" t="s">
        <v>2117</v>
      </c>
      <c r="I1708" s="71" t="s">
        <v>1657</v>
      </c>
    </row>
    <row r="1709" spans="1:9" ht="29" x14ac:dyDescent="0.35">
      <c r="A1709">
        <v>12</v>
      </c>
      <c r="B1709">
        <v>74</v>
      </c>
      <c r="C1709" t="s">
        <v>2187</v>
      </c>
      <c r="D1709" s="64">
        <f>VLOOKUP(C1709,'CHAS - Cook Co'!$C$1:$J$2762,2,FALSE) - VLOOKUP(C1709,'CHAS - Chicago'!$C$1:$J$2762,2,FALSE)</f>
        <v>10355</v>
      </c>
      <c r="E1709" t="s">
        <v>373</v>
      </c>
      <c r="F1709" s="71" t="s">
        <v>367</v>
      </c>
      <c r="G1709" s="71" t="s">
        <v>2179</v>
      </c>
      <c r="H1709" s="71" t="s">
        <v>2117</v>
      </c>
      <c r="I1709" s="71" t="s">
        <v>1663</v>
      </c>
    </row>
    <row r="1710" spans="1:9" ht="29" x14ac:dyDescent="0.35">
      <c r="A1710">
        <v>12</v>
      </c>
      <c r="B1710">
        <v>75</v>
      </c>
      <c r="C1710" t="s">
        <v>2188</v>
      </c>
      <c r="D1710" s="64">
        <f>VLOOKUP(C1710,'CHAS - Cook Co'!$C$1:$J$2762,2,FALSE) - VLOOKUP(C1710,'CHAS - Chicago'!$C$1:$J$2762,2,FALSE)</f>
        <v>4350</v>
      </c>
      <c r="E1710" t="s">
        <v>373</v>
      </c>
      <c r="F1710" s="71" t="s">
        <v>367</v>
      </c>
      <c r="G1710" s="71" t="s">
        <v>2179</v>
      </c>
      <c r="H1710" s="71" t="s">
        <v>2117</v>
      </c>
      <c r="I1710" s="71" t="s">
        <v>1667</v>
      </c>
    </row>
    <row r="1711" spans="1:9" ht="29" x14ac:dyDescent="0.35">
      <c r="A1711">
        <v>12</v>
      </c>
      <c r="B1711">
        <v>76</v>
      </c>
      <c r="C1711" t="s">
        <v>2189</v>
      </c>
      <c r="D1711" s="64">
        <f>VLOOKUP(C1711,'CHAS - Cook Co'!$C$1:$J$2762,2,FALSE) - VLOOKUP(C1711,'CHAS - Chicago'!$C$1:$J$2762,2,FALSE)</f>
        <v>0</v>
      </c>
      <c r="E1711" t="s">
        <v>373</v>
      </c>
      <c r="F1711" s="71" t="s">
        <v>367</v>
      </c>
      <c r="G1711" s="71" t="s">
        <v>2179</v>
      </c>
      <c r="H1711" s="71" t="s">
        <v>2117</v>
      </c>
      <c r="I1711" s="71" t="s">
        <v>1671</v>
      </c>
    </row>
    <row r="1712" spans="1:9" ht="29" x14ac:dyDescent="0.35">
      <c r="A1712">
        <v>12</v>
      </c>
      <c r="B1712">
        <v>77</v>
      </c>
      <c r="C1712" t="s">
        <v>2190</v>
      </c>
      <c r="D1712" s="64">
        <f>VLOOKUP(C1712,'CHAS - Cook Co'!$C$1:$J$2762,2,FALSE) - VLOOKUP(C1712,'CHAS - Chicago'!$C$1:$J$2762,2,FALSE)</f>
        <v>40000</v>
      </c>
      <c r="E1712" t="s">
        <v>366</v>
      </c>
      <c r="F1712" s="71" t="s">
        <v>367</v>
      </c>
      <c r="G1712" s="71" t="s">
        <v>2179</v>
      </c>
      <c r="H1712" s="71" t="s">
        <v>2123</v>
      </c>
      <c r="I1712" s="71" t="s">
        <v>1374</v>
      </c>
    </row>
    <row r="1713" spans="1:9" ht="29" x14ac:dyDescent="0.35">
      <c r="A1713">
        <v>12</v>
      </c>
      <c r="B1713">
        <v>78</v>
      </c>
      <c r="C1713" t="s">
        <v>2191</v>
      </c>
      <c r="D1713" s="64">
        <f>VLOOKUP(C1713,'CHAS - Cook Co'!$C$1:$J$2762,2,FALSE) - VLOOKUP(C1713,'CHAS - Chicago'!$C$1:$J$2762,2,FALSE)</f>
        <v>30740</v>
      </c>
      <c r="E1713" t="s">
        <v>373</v>
      </c>
      <c r="F1713" s="71" t="s">
        <v>367</v>
      </c>
      <c r="G1713" s="71" t="s">
        <v>2179</v>
      </c>
      <c r="H1713" s="71" t="s">
        <v>2123</v>
      </c>
      <c r="I1713" s="71" t="s">
        <v>1657</v>
      </c>
    </row>
    <row r="1714" spans="1:9" ht="29" x14ac:dyDescent="0.35">
      <c r="A1714">
        <v>12</v>
      </c>
      <c r="B1714">
        <v>79</v>
      </c>
      <c r="C1714" t="s">
        <v>2192</v>
      </c>
      <c r="D1714" s="64">
        <f>VLOOKUP(C1714,'CHAS - Cook Co'!$C$1:$J$2762,2,FALSE) - VLOOKUP(C1714,'CHAS - Chicago'!$C$1:$J$2762,2,FALSE)</f>
        <v>8005</v>
      </c>
      <c r="E1714" t="s">
        <v>373</v>
      </c>
      <c r="F1714" s="71" t="s">
        <v>367</v>
      </c>
      <c r="G1714" s="71" t="s">
        <v>2179</v>
      </c>
      <c r="H1714" s="71" t="s">
        <v>2123</v>
      </c>
      <c r="I1714" s="71" t="s">
        <v>1663</v>
      </c>
    </row>
    <row r="1715" spans="1:9" ht="29" x14ac:dyDescent="0.35">
      <c r="A1715">
        <v>12</v>
      </c>
      <c r="B1715">
        <v>80</v>
      </c>
      <c r="C1715" t="s">
        <v>2193</v>
      </c>
      <c r="D1715" s="64">
        <f>VLOOKUP(C1715,'CHAS - Cook Co'!$C$1:$J$2762,2,FALSE) - VLOOKUP(C1715,'CHAS - Chicago'!$C$1:$J$2762,2,FALSE)</f>
        <v>1255</v>
      </c>
      <c r="E1715" t="s">
        <v>373</v>
      </c>
      <c r="F1715" s="71" t="s">
        <v>367</v>
      </c>
      <c r="G1715" s="71" t="s">
        <v>2179</v>
      </c>
      <c r="H1715" s="71" t="s">
        <v>2123</v>
      </c>
      <c r="I1715" s="71" t="s">
        <v>1667</v>
      </c>
    </row>
    <row r="1716" spans="1:9" ht="29" x14ac:dyDescent="0.35">
      <c r="A1716">
        <v>12</v>
      </c>
      <c r="B1716">
        <v>81</v>
      </c>
      <c r="C1716" t="s">
        <v>2194</v>
      </c>
      <c r="D1716" s="64">
        <f>VLOOKUP(C1716,'CHAS - Cook Co'!$C$1:$J$2762,2,FALSE) - VLOOKUP(C1716,'CHAS - Chicago'!$C$1:$J$2762,2,FALSE)</f>
        <v>0</v>
      </c>
      <c r="E1716" t="s">
        <v>373</v>
      </c>
      <c r="F1716" s="71" t="s">
        <v>367</v>
      </c>
      <c r="G1716" s="71" t="s">
        <v>2179</v>
      </c>
      <c r="H1716" s="71" t="s">
        <v>2123</v>
      </c>
      <c r="I1716" s="71" t="s">
        <v>1671</v>
      </c>
    </row>
    <row r="1717" spans="1:9" ht="29" x14ac:dyDescent="0.35">
      <c r="A1717">
        <v>12</v>
      </c>
      <c r="B1717">
        <v>82</v>
      </c>
      <c r="C1717" t="s">
        <v>2195</v>
      </c>
      <c r="D1717" s="64">
        <f>VLOOKUP(C1717,'CHAS - Cook Co'!$C$1:$J$2762,2,FALSE) - VLOOKUP(C1717,'CHAS - Chicago'!$C$1:$J$2762,2,FALSE)</f>
        <v>72780</v>
      </c>
      <c r="E1717" t="s">
        <v>366</v>
      </c>
      <c r="F1717" s="71" t="s">
        <v>367</v>
      </c>
      <c r="G1717" s="71" t="s">
        <v>2179</v>
      </c>
      <c r="H1717" s="71" t="s">
        <v>2129</v>
      </c>
      <c r="I1717" s="71" t="s">
        <v>1374</v>
      </c>
    </row>
    <row r="1718" spans="1:9" ht="29" x14ac:dyDescent="0.35">
      <c r="A1718">
        <v>12</v>
      </c>
      <c r="B1718">
        <v>83</v>
      </c>
      <c r="C1718" t="s">
        <v>2196</v>
      </c>
      <c r="D1718" s="64">
        <f>VLOOKUP(C1718,'CHAS - Cook Co'!$C$1:$J$2762,2,FALSE) - VLOOKUP(C1718,'CHAS - Chicago'!$C$1:$J$2762,2,FALSE)</f>
        <v>68805</v>
      </c>
      <c r="E1718" t="s">
        <v>373</v>
      </c>
      <c r="F1718" s="71" t="s">
        <v>367</v>
      </c>
      <c r="G1718" s="71" t="s">
        <v>2179</v>
      </c>
      <c r="H1718" s="71" t="s">
        <v>2129</v>
      </c>
      <c r="I1718" s="71" t="s">
        <v>1657</v>
      </c>
    </row>
    <row r="1719" spans="1:9" ht="29" x14ac:dyDescent="0.35">
      <c r="A1719">
        <v>12</v>
      </c>
      <c r="B1719">
        <v>84</v>
      </c>
      <c r="C1719" t="s">
        <v>2197</v>
      </c>
      <c r="D1719" s="64">
        <f>VLOOKUP(C1719,'CHAS - Cook Co'!$C$1:$J$2762,2,FALSE) - VLOOKUP(C1719,'CHAS - Chicago'!$C$1:$J$2762,2,FALSE)</f>
        <v>3435</v>
      </c>
      <c r="E1719" t="s">
        <v>373</v>
      </c>
      <c r="F1719" s="71" t="s">
        <v>367</v>
      </c>
      <c r="G1719" s="71" t="s">
        <v>2179</v>
      </c>
      <c r="H1719" s="71" t="s">
        <v>2129</v>
      </c>
      <c r="I1719" s="71" t="s">
        <v>1663</v>
      </c>
    </row>
    <row r="1720" spans="1:9" ht="29" x14ac:dyDescent="0.35">
      <c r="A1720">
        <v>12</v>
      </c>
      <c r="B1720">
        <v>85</v>
      </c>
      <c r="C1720" t="s">
        <v>2198</v>
      </c>
      <c r="D1720" s="64">
        <f>VLOOKUP(C1720,'CHAS - Cook Co'!$C$1:$J$2762,2,FALSE) - VLOOKUP(C1720,'CHAS - Chicago'!$C$1:$J$2762,2,FALSE)</f>
        <v>540</v>
      </c>
      <c r="E1720" t="s">
        <v>373</v>
      </c>
      <c r="F1720" s="71" t="s">
        <v>367</v>
      </c>
      <c r="G1720" s="71" t="s">
        <v>2179</v>
      </c>
      <c r="H1720" s="71" t="s">
        <v>2129</v>
      </c>
      <c r="I1720" s="71" t="s">
        <v>1667</v>
      </c>
    </row>
    <row r="1721" spans="1:9" ht="29" x14ac:dyDescent="0.35">
      <c r="A1721">
        <v>12</v>
      </c>
      <c r="B1721">
        <v>86</v>
      </c>
      <c r="C1721" t="s">
        <v>2199</v>
      </c>
      <c r="D1721" s="64">
        <f>VLOOKUP(C1721,'CHAS - Cook Co'!$C$1:$J$2762,2,FALSE) - VLOOKUP(C1721,'CHAS - Chicago'!$C$1:$J$2762,2,FALSE)</f>
        <v>0</v>
      </c>
      <c r="E1721" t="s">
        <v>373</v>
      </c>
      <c r="F1721" s="71" t="s">
        <v>367</v>
      </c>
      <c r="G1721" s="71" t="s">
        <v>2179</v>
      </c>
      <c r="H1721" s="71" t="s">
        <v>2129</v>
      </c>
      <c r="I1721" s="71" t="s">
        <v>1671</v>
      </c>
    </row>
    <row r="1722" spans="1:9" ht="29" x14ac:dyDescent="0.35">
      <c r="A1722">
        <v>12</v>
      </c>
      <c r="B1722">
        <v>87</v>
      </c>
      <c r="C1722" t="s">
        <v>2200</v>
      </c>
      <c r="D1722" s="64">
        <f>VLOOKUP(C1722,'CHAS - Cook Co'!$C$1:$J$2762,2,FALSE) - VLOOKUP(C1722,'CHAS - Chicago'!$C$1:$J$2762,2,FALSE)</f>
        <v>81740</v>
      </c>
      <c r="E1722" t="s">
        <v>366</v>
      </c>
      <c r="F1722" s="71" t="s">
        <v>367</v>
      </c>
      <c r="G1722" s="71" t="s">
        <v>2201</v>
      </c>
      <c r="H1722" s="71" t="s">
        <v>363</v>
      </c>
      <c r="I1722" s="71" t="s">
        <v>1374</v>
      </c>
    </row>
    <row r="1723" spans="1:9" ht="29" x14ac:dyDescent="0.35">
      <c r="A1723">
        <v>12</v>
      </c>
      <c r="B1723">
        <v>88</v>
      </c>
      <c r="C1723" t="s">
        <v>2202</v>
      </c>
      <c r="D1723" s="64">
        <f>VLOOKUP(C1723,'CHAS - Cook Co'!$C$1:$J$2762,2,FALSE) - VLOOKUP(C1723,'CHAS - Chicago'!$C$1:$J$2762,2,FALSE)</f>
        <v>14135</v>
      </c>
      <c r="E1723" t="s">
        <v>366</v>
      </c>
      <c r="F1723" s="71" t="s">
        <v>367</v>
      </c>
      <c r="G1723" s="71" t="s">
        <v>2201</v>
      </c>
      <c r="H1723" s="71" t="s">
        <v>2111</v>
      </c>
      <c r="I1723" s="71" t="s">
        <v>1374</v>
      </c>
    </row>
    <row r="1724" spans="1:9" ht="29" x14ac:dyDescent="0.35">
      <c r="A1724">
        <v>12</v>
      </c>
      <c r="B1724">
        <v>89</v>
      </c>
      <c r="C1724" t="s">
        <v>2203</v>
      </c>
      <c r="D1724" s="64">
        <f>VLOOKUP(C1724,'CHAS - Cook Co'!$C$1:$J$2762,2,FALSE) - VLOOKUP(C1724,'CHAS - Chicago'!$C$1:$J$2762,2,FALSE)</f>
        <v>2720</v>
      </c>
      <c r="E1724" t="s">
        <v>373</v>
      </c>
      <c r="F1724" s="71" t="s">
        <v>367</v>
      </c>
      <c r="G1724" s="71" t="s">
        <v>2201</v>
      </c>
      <c r="H1724" s="71" t="s">
        <v>2111</v>
      </c>
      <c r="I1724" s="71" t="s">
        <v>1657</v>
      </c>
    </row>
    <row r="1725" spans="1:9" ht="29" x14ac:dyDescent="0.35">
      <c r="A1725">
        <v>12</v>
      </c>
      <c r="B1725">
        <v>90</v>
      </c>
      <c r="C1725" t="s">
        <v>2204</v>
      </c>
      <c r="D1725" s="64">
        <f>VLOOKUP(C1725,'CHAS - Cook Co'!$C$1:$J$2762,2,FALSE) - VLOOKUP(C1725,'CHAS - Chicago'!$C$1:$J$2762,2,FALSE)</f>
        <v>3040</v>
      </c>
      <c r="E1725" t="s">
        <v>373</v>
      </c>
      <c r="F1725" s="71" t="s">
        <v>367</v>
      </c>
      <c r="G1725" s="71" t="s">
        <v>2201</v>
      </c>
      <c r="H1725" s="71" t="s">
        <v>2111</v>
      </c>
      <c r="I1725" s="71" t="s">
        <v>1663</v>
      </c>
    </row>
    <row r="1726" spans="1:9" ht="29" x14ac:dyDescent="0.35">
      <c r="A1726">
        <v>12</v>
      </c>
      <c r="B1726">
        <v>91</v>
      </c>
      <c r="C1726" t="s">
        <v>2205</v>
      </c>
      <c r="D1726" s="64">
        <f>VLOOKUP(C1726,'CHAS - Cook Co'!$C$1:$J$2762,2,FALSE) - VLOOKUP(C1726,'CHAS - Chicago'!$C$1:$J$2762,2,FALSE)</f>
        <v>7785</v>
      </c>
      <c r="E1726" t="s">
        <v>373</v>
      </c>
      <c r="F1726" s="71" t="s">
        <v>367</v>
      </c>
      <c r="G1726" s="71" t="s">
        <v>2201</v>
      </c>
      <c r="H1726" s="71" t="s">
        <v>2111</v>
      </c>
      <c r="I1726" s="71" t="s">
        <v>1667</v>
      </c>
    </row>
    <row r="1727" spans="1:9" ht="29" x14ac:dyDescent="0.35">
      <c r="A1727">
        <v>12</v>
      </c>
      <c r="B1727">
        <v>92</v>
      </c>
      <c r="C1727" t="s">
        <v>2206</v>
      </c>
      <c r="D1727" s="64">
        <f>VLOOKUP(C1727,'CHAS - Cook Co'!$C$1:$J$2762,2,FALSE) - VLOOKUP(C1727,'CHAS - Chicago'!$C$1:$J$2762,2,FALSE)</f>
        <v>585</v>
      </c>
      <c r="E1727" t="s">
        <v>373</v>
      </c>
      <c r="F1727" s="71" t="s">
        <v>367</v>
      </c>
      <c r="G1727" s="71" t="s">
        <v>2201</v>
      </c>
      <c r="H1727" s="71" t="s">
        <v>2111</v>
      </c>
      <c r="I1727" s="71" t="s">
        <v>1671</v>
      </c>
    </row>
    <row r="1728" spans="1:9" ht="29" x14ac:dyDescent="0.35">
      <c r="A1728">
        <v>12</v>
      </c>
      <c r="B1728">
        <v>93</v>
      </c>
      <c r="C1728" t="s">
        <v>2207</v>
      </c>
      <c r="D1728" s="64">
        <f>VLOOKUP(C1728,'CHAS - Cook Co'!$C$1:$J$2762,2,FALSE) - VLOOKUP(C1728,'CHAS - Chicago'!$C$1:$J$2762,2,FALSE)</f>
        <v>11440</v>
      </c>
      <c r="E1728" t="s">
        <v>366</v>
      </c>
      <c r="F1728" s="71" t="s">
        <v>367</v>
      </c>
      <c r="G1728" s="71" t="s">
        <v>2201</v>
      </c>
      <c r="H1728" s="71" t="s">
        <v>2117</v>
      </c>
      <c r="I1728" s="71" t="s">
        <v>1374</v>
      </c>
    </row>
    <row r="1729" spans="1:9" ht="29" x14ac:dyDescent="0.35">
      <c r="A1729">
        <v>12</v>
      </c>
      <c r="B1729">
        <v>94</v>
      </c>
      <c r="C1729" t="s">
        <v>2208</v>
      </c>
      <c r="D1729" s="64">
        <f>VLOOKUP(C1729,'CHAS - Cook Co'!$C$1:$J$2762,2,FALSE) - VLOOKUP(C1729,'CHAS - Chicago'!$C$1:$J$2762,2,FALSE)</f>
        <v>5750</v>
      </c>
      <c r="E1729" t="s">
        <v>373</v>
      </c>
      <c r="F1729" s="71" t="s">
        <v>367</v>
      </c>
      <c r="G1729" s="71" t="s">
        <v>2201</v>
      </c>
      <c r="H1729" s="71" t="s">
        <v>2117</v>
      </c>
      <c r="I1729" s="71" t="s">
        <v>1657</v>
      </c>
    </row>
    <row r="1730" spans="1:9" ht="29" x14ac:dyDescent="0.35">
      <c r="A1730">
        <v>12</v>
      </c>
      <c r="B1730">
        <v>95</v>
      </c>
      <c r="C1730" t="s">
        <v>2209</v>
      </c>
      <c r="D1730" s="64">
        <f>VLOOKUP(C1730,'CHAS - Cook Co'!$C$1:$J$2762,2,FALSE) - VLOOKUP(C1730,'CHAS - Chicago'!$C$1:$J$2762,2,FALSE)</f>
        <v>3795</v>
      </c>
      <c r="E1730" t="s">
        <v>373</v>
      </c>
      <c r="F1730" s="71" t="s">
        <v>367</v>
      </c>
      <c r="G1730" s="71" t="s">
        <v>2201</v>
      </c>
      <c r="H1730" s="71" t="s">
        <v>2117</v>
      </c>
      <c r="I1730" s="71" t="s">
        <v>1663</v>
      </c>
    </row>
    <row r="1731" spans="1:9" ht="29" x14ac:dyDescent="0.35">
      <c r="A1731">
        <v>12</v>
      </c>
      <c r="B1731">
        <v>96</v>
      </c>
      <c r="C1731" t="s">
        <v>2210</v>
      </c>
      <c r="D1731" s="64">
        <f>VLOOKUP(C1731,'CHAS - Cook Co'!$C$1:$J$2762,2,FALSE) - VLOOKUP(C1731,'CHAS - Chicago'!$C$1:$J$2762,2,FALSE)</f>
        <v>1900</v>
      </c>
      <c r="E1731" t="s">
        <v>373</v>
      </c>
      <c r="F1731" s="71" t="s">
        <v>367</v>
      </c>
      <c r="G1731" s="71" t="s">
        <v>2201</v>
      </c>
      <c r="H1731" s="71" t="s">
        <v>2117</v>
      </c>
      <c r="I1731" s="71" t="s">
        <v>1667</v>
      </c>
    </row>
    <row r="1732" spans="1:9" ht="29" x14ac:dyDescent="0.35">
      <c r="A1732">
        <v>12</v>
      </c>
      <c r="B1732">
        <v>97</v>
      </c>
      <c r="C1732" t="s">
        <v>2211</v>
      </c>
      <c r="D1732" s="64">
        <f>VLOOKUP(C1732,'CHAS - Cook Co'!$C$1:$J$2762,2,FALSE) - VLOOKUP(C1732,'CHAS - Chicago'!$C$1:$J$2762,2,FALSE)</f>
        <v>0</v>
      </c>
      <c r="E1732" t="s">
        <v>373</v>
      </c>
      <c r="F1732" s="71" t="s">
        <v>367</v>
      </c>
      <c r="G1732" s="71" t="s">
        <v>2201</v>
      </c>
      <c r="H1732" s="71" t="s">
        <v>2117</v>
      </c>
      <c r="I1732" s="71" t="s">
        <v>1671</v>
      </c>
    </row>
    <row r="1733" spans="1:9" ht="29" x14ac:dyDescent="0.35">
      <c r="A1733">
        <v>12</v>
      </c>
      <c r="B1733">
        <v>98</v>
      </c>
      <c r="C1733" t="s">
        <v>2212</v>
      </c>
      <c r="D1733" s="64">
        <f>VLOOKUP(C1733,'CHAS - Cook Co'!$C$1:$J$2762,2,FALSE) - VLOOKUP(C1733,'CHAS - Chicago'!$C$1:$J$2762,2,FALSE)</f>
        <v>15530</v>
      </c>
      <c r="E1733" t="s">
        <v>366</v>
      </c>
      <c r="F1733" s="71" t="s">
        <v>367</v>
      </c>
      <c r="G1733" s="71" t="s">
        <v>2201</v>
      </c>
      <c r="H1733" s="71" t="s">
        <v>2123</v>
      </c>
      <c r="I1733" s="71" t="s">
        <v>1374</v>
      </c>
    </row>
    <row r="1734" spans="1:9" ht="29" x14ac:dyDescent="0.35">
      <c r="A1734">
        <v>12</v>
      </c>
      <c r="B1734">
        <v>99</v>
      </c>
      <c r="C1734" t="s">
        <v>2213</v>
      </c>
      <c r="D1734" s="64">
        <f>VLOOKUP(C1734,'CHAS - Cook Co'!$C$1:$J$2762,2,FALSE) - VLOOKUP(C1734,'CHAS - Chicago'!$C$1:$J$2762,2,FALSE)</f>
        <v>10475</v>
      </c>
      <c r="E1734" t="s">
        <v>373</v>
      </c>
      <c r="F1734" s="71" t="s">
        <v>367</v>
      </c>
      <c r="G1734" s="71" t="s">
        <v>2201</v>
      </c>
      <c r="H1734" s="71" t="s">
        <v>2123</v>
      </c>
      <c r="I1734" s="71" t="s">
        <v>1657</v>
      </c>
    </row>
    <row r="1735" spans="1:9" ht="29" x14ac:dyDescent="0.35">
      <c r="A1735">
        <v>12</v>
      </c>
      <c r="B1735">
        <v>100</v>
      </c>
      <c r="C1735" t="s">
        <v>2214</v>
      </c>
      <c r="D1735" s="64">
        <f>VLOOKUP(C1735,'CHAS - Cook Co'!$C$1:$J$2762,2,FALSE) - VLOOKUP(C1735,'CHAS - Chicago'!$C$1:$J$2762,2,FALSE)</f>
        <v>4130</v>
      </c>
      <c r="E1735" t="s">
        <v>373</v>
      </c>
      <c r="F1735" s="71" t="s">
        <v>367</v>
      </c>
      <c r="G1735" s="71" t="s">
        <v>2201</v>
      </c>
      <c r="H1735" s="71" t="s">
        <v>2123</v>
      </c>
      <c r="I1735" s="71" t="s">
        <v>1663</v>
      </c>
    </row>
    <row r="1736" spans="1:9" ht="29" x14ac:dyDescent="0.35">
      <c r="A1736">
        <v>12</v>
      </c>
      <c r="B1736">
        <v>101</v>
      </c>
      <c r="C1736" t="s">
        <v>2215</v>
      </c>
      <c r="D1736" s="64">
        <f>VLOOKUP(C1736,'CHAS - Cook Co'!$C$1:$J$2762,2,FALSE) - VLOOKUP(C1736,'CHAS - Chicago'!$C$1:$J$2762,2,FALSE)</f>
        <v>930</v>
      </c>
      <c r="E1736" t="s">
        <v>373</v>
      </c>
      <c r="F1736" s="71" t="s">
        <v>367</v>
      </c>
      <c r="G1736" s="71" t="s">
        <v>2201</v>
      </c>
      <c r="H1736" s="71" t="s">
        <v>2123</v>
      </c>
      <c r="I1736" s="71" t="s">
        <v>1667</v>
      </c>
    </row>
    <row r="1737" spans="1:9" ht="29" x14ac:dyDescent="0.35">
      <c r="A1737">
        <v>12</v>
      </c>
      <c r="B1737">
        <v>102</v>
      </c>
      <c r="C1737" t="s">
        <v>2216</v>
      </c>
      <c r="D1737" s="64">
        <f>VLOOKUP(C1737,'CHAS - Cook Co'!$C$1:$J$2762,2,FALSE) - VLOOKUP(C1737,'CHAS - Chicago'!$C$1:$J$2762,2,FALSE)</f>
        <v>0</v>
      </c>
      <c r="E1737" t="s">
        <v>373</v>
      </c>
      <c r="F1737" s="71" t="s">
        <v>367</v>
      </c>
      <c r="G1737" s="71" t="s">
        <v>2201</v>
      </c>
      <c r="H1737" s="71" t="s">
        <v>2123</v>
      </c>
      <c r="I1737" s="71" t="s">
        <v>1671</v>
      </c>
    </row>
    <row r="1738" spans="1:9" ht="29" x14ac:dyDescent="0.35">
      <c r="A1738">
        <v>12</v>
      </c>
      <c r="B1738">
        <v>103</v>
      </c>
      <c r="C1738" t="s">
        <v>2217</v>
      </c>
      <c r="D1738" s="64">
        <f>VLOOKUP(C1738,'CHAS - Cook Co'!$C$1:$J$2762,2,FALSE) - VLOOKUP(C1738,'CHAS - Chicago'!$C$1:$J$2762,2,FALSE)</f>
        <v>40635</v>
      </c>
      <c r="E1738" t="s">
        <v>366</v>
      </c>
      <c r="F1738" s="71" t="s">
        <v>367</v>
      </c>
      <c r="G1738" s="71" t="s">
        <v>2201</v>
      </c>
      <c r="H1738" s="71" t="s">
        <v>2129</v>
      </c>
      <c r="I1738" s="71" t="s">
        <v>1374</v>
      </c>
    </row>
    <row r="1739" spans="1:9" ht="29" x14ac:dyDescent="0.35">
      <c r="A1739">
        <v>12</v>
      </c>
      <c r="B1739">
        <v>104</v>
      </c>
      <c r="C1739" t="s">
        <v>2218</v>
      </c>
      <c r="D1739" s="64">
        <f>VLOOKUP(C1739,'CHAS - Cook Co'!$C$1:$J$2762,2,FALSE) - VLOOKUP(C1739,'CHAS - Chicago'!$C$1:$J$2762,2,FALSE)</f>
        <v>37175</v>
      </c>
      <c r="E1739" t="s">
        <v>373</v>
      </c>
      <c r="F1739" s="71" t="s">
        <v>367</v>
      </c>
      <c r="G1739" s="71" t="s">
        <v>2201</v>
      </c>
      <c r="H1739" s="71" t="s">
        <v>2129</v>
      </c>
      <c r="I1739" s="71" t="s">
        <v>1657</v>
      </c>
    </row>
    <row r="1740" spans="1:9" ht="29" x14ac:dyDescent="0.35">
      <c r="A1740">
        <v>12</v>
      </c>
      <c r="B1740">
        <v>105</v>
      </c>
      <c r="C1740" t="s">
        <v>2219</v>
      </c>
      <c r="D1740" s="64">
        <f>VLOOKUP(C1740,'CHAS - Cook Co'!$C$1:$J$2762,2,FALSE) - VLOOKUP(C1740,'CHAS - Chicago'!$C$1:$J$2762,2,FALSE)</f>
        <v>3050</v>
      </c>
      <c r="E1740" t="s">
        <v>373</v>
      </c>
      <c r="F1740" s="71" t="s">
        <v>367</v>
      </c>
      <c r="G1740" s="71" t="s">
        <v>2201</v>
      </c>
      <c r="H1740" s="71" t="s">
        <v>2129</v>
      </c>
      <c r="I1740" s="71" t="s">
        <v>1663</v>
      </c>
    </row>
    <row r="1741" spans="1:9" ht="29" x14ac:dyDescent="0.35">
      <c r="A1741">
        <v>12</v>
      </c>
      <c r="B1741">
        <v>106</v>
      </c>
      <c r="C1741" t="s">
        <v>2220</v>
      </c>
      <c r="D1741" s="64">
        <f>VLOOKUP(C1741,'CHAS - Cook Co'!$C$1:$J$2762,2,FALSE) - VLOOKUP(C1741,'CHAS - Chicago'!$C$1:$J$2762,2,FALSE)</f>
        <v>410</v>
      </c>
      <c r="E1741" t="s">
        <v>373</v>
      </c>
      <c r="F1741" s="71" t="s">
        <v>367</v>
      </c>
      <c r="G1741" s="71" t="s">
        <v>2201</v>
      </c>
      <c r="H1741" s="71" t="s">
        <v>2129</v>
      </c>
      <c r="I1741" s="71" t="s">
        <v>1667</v>
      </c>
    </row>
    <row r="1742" spans="1:9" ht="29" x14ac:dyDescent="0.35">
      <c r="A1742">
        <v>12</v>
      </c>
      <c r="B1742">
        <v>107</v>
      </c>
      <c r="C1742" t="s">
        <v>2221</v>
      </c>
      <c r="D1742" s="64">
        <f>VLOOKUP(C1742,'CHAS - Cook Co'!$C$1:$J$2762,2,FALSE) - VLOOKUP(C1742,'CHAS - Chicago'!$C$1:$J$2762,2,FALSE)</f>
        <v>0</v>
      </c>
      <c r="E1742" t="s">
        <v>373</v>
      </c>
      <c r="F1742" s="71" t="s">
        <v>367</v>
      </c>
      <c r="G1742" s="71" t="s">
        <v>2201</v>
      </c>
      <c r="H1742" s="71" t="s">
        <v>2129</v>
      </c>
      <c r="I1742" s="71" t="s">
        <v>1671</v>
      </c>
    </row>
    <row r="1743" spans="1:9" x14ac:dyDescent="0.35">
      <c r="A1743">
        <v>12</v>
      </c>
      <c r="B1743">
        <v>108</v>
      </c>
      <c r="C1743" t="s">
        <v>2222</v>
      </c>
      <c r="D1743" s="64">
        <f>VLOOKUP(C1743,'CHAS - Cook Co'!$C$1:$J$2762,2,FALSE) - VLOOKUP(C1743,'CHAS - Chicago'!$C$1:$J$2762,2,FALSE)</f>
        <v>263750</v>
      </c>
      <c r="E1743" t="s">
        <v>366</v>
      </c>
      <c r="F1743" s="71" t="s">
        <v>508</v>
      </c>
      <c r="G1743" s="71" t="s">
        <v>2106</v>
      </c>
      <c r="H1743" s="71" t="s">
        <v>363</v>
      </c>
      <c r="I1743" s="71" t="s">
        <v>1374</v>
      </c>
    </row>
    <row r="1744" spans="1:9" ht="29" x14ac:dyDescent="0.35">
      <c r="A1744">
        <v>12</v>
      </c>
      <c r="B1744">
        <v>109</v>
      </c>
      <c r="C1744" t="s">
        <v>2223</v>
      </c>
      <c r="D1744" s="64">
        <f>VLOOKUP(C1744,'CHAS - Cook Co'!$C$1:$J$2762,2,FALSE) - VLOOKUP(C1744,'CHAS - Chicago'!$C$1:$J$2762,2,FALSE)</f>
        <v>18910</v>
      </c>
      <c r="E1744" t="s">
        <v>366</v>
      </c>
      <c r="F1744" s="71" t="s">
        <v>508</v>
      </c>
      <c r="G1744" s="71" t="s">
        <v>2109</v>
      </c>
      <c r="H1744" s="71" t="s">
        <v>363</v>
      </c>
      <c r="I1744" s="71" t="s">
        <v>1374</v>
      </c>
    </row>
    <row r="1745" spans="1:9" ht="29" x14ac:dyDescent="0.35">
      <c r="A1745">
        <v>12</v>
      </c>
      <c r="B1745">
        <v>110</v>
      </c>
      <c r="C1745" t="s">
        <v>2224</v>
      </c>
      <c r="D1745" s="64">
        <f>VLOOKUP(C1745,'CHAS - Cook Co'!$C$1:$J$2762,2,FALSE) - VLOOKUP(C1745,'CHAS - Chicago'!$C$1:$J$2762,2,FALSE)</f>
        <v>7900</v>
      </c>
      <c r="E1745" t="s">
        <v>366</v>
      </c>
      <c r="F1745" s="71" t="s">
        <v>508</v>
      </c>
      <c r="G1745" s="71" t="s">
        <v>2109</v>
      </c>
      <c r="H1745" s="71" t="s">
        <v>2111</v>
      </c>
      <c r="I1745" s="71" t="s">
        <v>1374</v>
      </c>
    </row>
    <row r="1746" spans="1:9" ht="29" x14ac:dyDescent="0.35">
      <c r="A1746">
        <v>12</v>
      </c>
      <c r="B1746">
        <v>111</v>
      </c>
      <c r="C1746" t="s">
        <v>2225</v>
      </c>
      <c r="D1746" s="64">
        <f>VLOOKUP(C1746,'CHAS - Cook Co'!$C$1:$J$2762,2,FALSE) - VLOOKUP(C1746,'CHAS - Chicago'!$C$1:$J$2762,2,FALSE)</f>
        <v>1295</v>
      </c>
      <c r="E1746" t="s">
        <v>373</v>
      </c>
      <c r="F1746" s="71" t="s">
        <v>508</v>
      </c>
      <c r="G1746" s="71" t="s">
        <v>2109</v>
      </c>
      <c r="H1746" s="71" t="s">
        <v>2111</v>
      </c>
      <c r="I1746" s="71" t="s">
        <v>1657</v>
      </c>
    </row>
    <row r="1747" spans="1:9" ht="29" x14ac:dyDescent="0.35">
      <c r="A1747">
        <v>12</v>
      </c>
      <c r="B1747">
        <v>112</v>
      </c>
      <c r="C1747" t="s">
        <v>2226</v>
      </c>
      <c r="D1747" s="64">
        <f>VLOOKUP(C1747,'CHAS - Cook Co'!$C$1:$J$2762,2,FALSE) - VLOOKUP(C1747,'CHAS - Chicago'!$C$1:$J$2762,2,FALSE)</f>
        <v>1725</v>
      </c>
      <c r="E1747" t="s">
        <v>373</v>
      </c>
      <c r="F1747" s="71" t="s">
        <v>508</v>
      </c>
      <c r="G1747" s="71" t="s">
        <v>2109</v>
      </c>
      <c r="H1747" s="71" t="s">
        <v>2111</v>
      </c>
      <c r="I1747" s="71" t="s">
        <v>1663</v>
      </c>
    </row>
    <row r="1748" spans="1:9" ht="29" x14ac:dyDescent="0.35">
      <c r="A1748">
        <v>12</v>
      </c>
      <c r="B1748">
        <v>113</v>
      </c>
      <c r="C1748" t="s">
        <v>2227</v>
      </c>
      <c r="D1748" s="64">
        <f>VLOOKUP(C1748,'CHAS - Cook Co'!$C$1:$J$2762,2,FALSE) - VLOOKUP(C1748,'CHAS - Chicago'!$C$1:$J$2762,2,FALSE)</f>
        <v>4370</v>
      </c>
      <c r="E1748" t="s">
        <v>373</v>
      </c>
      <c r="F1748" s="71" t="s">
        <v>508</v>
      </c>
      <c r="G1748" s="71" t="s">
        <v>2109</v>
      </c>
      <c r="H1748" s="71" t="s">
        <v>2111</v>
      </c>
      <c r="I1748" s="71" t="s">
        <v>1667</v>
      </c>
    </row>
    <row r="1749" spans="1:9" ht="29" x14ac:dyDescent="0.35">
      <c r="A1749">
        <v>12</v>
      </c>
      <c r="B1749">
        <v>114</v>
      </c>
      <c r="C1749" t="s">
        <v>2228</v>
      </c>
      <c r="D1749" s="64">
        <f>VLOOKUP(C1749,'CHAS - Cook Co'!$C$1:$J$2762,2,FALSE) - VLOOKUP(C1749,'CHAS - Chicago'!$C$1:$J$2762,2,FALSE)</f>
        <v>500</v>
      </c>
      <c r="E1749" t="s">
        <v>373</v>
      </c>
      <c r="F1749" s="71" t="s">
        <v>508</v>
      </c>
      <c r="G1749" s="71" t="s">
        <v>2109</v>
      </c>
      <c r="H1749" s="71" t="s">
        <v>2111</v>
      </c>
      <c r="I1749" s="71" t="s">
        <v>1671</v>
      </c>
    </row>
    <row r="1750" spans="1:9" ht="29" x14ac:dyDescent="0.35">
      <c r="A1750">
        <v>12</v>
      </c>
      <c r="B1750">
        <v>115</v>
      </c>
      <c r="C1750" t="s">
        <v>2229</v>
      </c>
      <c r="D1750" s="64">
        <f>VLOOKUP(C1750,'CHAS - Cook Co'!$C$1:$J$2762,2,FALSE) - VLOOKUP(C1750,'CHAS - Chicago'!$C$1:$J$2762,2,FALSE)</f>
        <v>2875</v>
      </c>
      <c r="E1750" t="s">
        <v>366</v>
      </c>
      <c r="F1750" s="71" t="s">
        <v>508</v>
      </c>
      <c r="G1750" s="71" t="s">
        <v>2109</v>
      </c>
      <c r="H1750" s="71" t="s">
        <v>2117</v>
      </c>
      <c r="I1750" s="71" t="s">
        <v>1374</v>
      </c>
    </row>
    <row r="1751" spans="1:9" ht="29" x14ac:dyDescent="0.35">
      <c r="A1751">
        <v>12</v>
      </c>
      <c r="B1751">
        <v>116</v>
      </c>
      <c r="C1751" t="s">
        <v>2230</v>
      </c>
      <c r="D1751" s="64">
        <f>VLOOKUP(C1751,'CHAS - Cook Co'!$C$1:$J$2762,2,FALSE) - VLOOKUP(C1751,'CHAS - Chicago'!$C$1:$J$2762,2,FALSE)</f>
        <v>1375</v>
      </c>
      <c r="E1751" t="s">
        <v>373</v>
      </c>
      <c r="F1751" s="71" t="s">
        <v>508</v>
      </c>
      <c r="G1751" s="71" t="s">
        <v>2109</v>
      </c>
      <c r="H1751" s="71" t="s">
        <v>2117</v>
      </c>
      <c r="I1751" s="71" t="s">
        <v>1657</v>
      </c>
    </row>
    <row r="1752" spans="1:9" ht="29" x14ac:dyDescent="0.35">
      <c r="A1752">
        <v>12</v>
      </c>
      <c r="B1752">
        <v>117</v>
      </c>
      <c r="C1752" t="s">
        <v>2231</v>
      </c>
      <c r="D1752" s="64">
        <f>VLOOKUP(C1752,'CHAS - Cook Co'!$C$1:$J$2762,2,FALSE) - VLOOKUP(C1752,'CHAS - Chicago'!$C$1:$J$2762,2,FALSE)</f>
        <v>1195</v>
      </c>
      <c r="E1752" t="s">
        <v>373</v>
      </c>
      <c r="F1752" s="71" t="s">
        <v>508</v>
      </c>
      <c r="G1752" s="71" t="s">
        <v>2109</v>
      </c>
      <c r="H1752" s="71" t="s">
        <v>2117</v>
      </c>
      <c r="I1752" s="71" t="s">
        <v>1663</v>
      </c>
    </row>
    <row r="1753" spans="1:9" ht="29" x14ac:dyDescent="0.35">
      <c r="A1753">
        <v>12</v>
      </c>
      <c r="B1753">
        <v>118</v>
      </c>
      <c r="C1753" t="s">
        <v>2232</v>
      </c>
      <c r="D1753" s="64">
        <f>VLOOKUP(C1753,'CHAS - Cook Co'!$C$1:$J$2762,2,FALSE) - VLOOKUP(C1753,'CHAS - Chicago'!$C$1:$J$2762,2,FALSE)</f>
        <v>305</v>
      </c>
      <c r="E1753" t="s">
        <v>373</v>
      </c>
      <c r="F1753" s="71" t="s">
        <v>508</v>
      </c>
      <c r="G1753" s="71" t="s">
        <v>2109</v>
      </c>
      <c r="H1753" s="71" t="s">
        <v>2117</v>
      </c>
      <c r="I1753" s="71" t="s">
        <v>1667</v>
      </c>
    </row>
    <row r="1754" spans="1:9" ht="29" x14ac:dyDescent="0.35">
      <c r="A1754">
        <v>12</v>
      </c>
      <c r="B1754">
        <v>119</v>
      </c>
      <c r="C1754" t="s">
        <v>2233</v>
      </c>
      <c r="D1754" s="64">
        <f>VLOOKUP(C1754,'CHAS - Cook Co'!$C$1:$J$2762,2,FALSE) - VLOOKUP(C1754,'CHAS - Chicago'!$C$1:$J$2762,2,FALSE)</f>
        <v>0</v>
      </c>
      <c r="E1754" t="s">
        <v>373</v>
      </c>
      <c r="F1754" s="71" t="s">
        <v>508</v>
      </c>
      <c r="G1754" s="71" t="s">
        <v>2109</v>
      </c>
      <c r="H1754" s="71" t="s">
        <v>2117</v>
      </c>
      <c r="I1754" s="71" t="s">
        <v>1671</v>
      </c>
    </row>
    <row r="1755" spans="1:9" ht="29" x14ac:dyDescent="0.35">
      <c r="A1755">
        <v>12</v>
      </c>
      <c r="B1755">
        <v>120</v>
      </c>
      <c r="C1755" t="s">
        <v>2234</v>
      </c>
      <c r="D1755" s="64">
        <f>VLOOKUP(C1755,'CHAS - Cook Co'!$C$1:$J$2762,2,FALSE) - VLOOKUP(C1755,'CHAS - Chicago'!$C$1:$J$2762,2,FALSE)</f>
        <v>3045</v>
      </c>
      <c r="E1755" t="s">
        <v>366</v>
      </c>
      <c r="F1755" s="71" t="s">
        <v>508</v>
      </c>
      <c r="G1755" s="71" t="s">
        <v>2109</v>
      </c>
      <c r="H1755" s="71" t="s">
        <v>2123</v>
      </c>
      <c r="I1755" s="71" t="s">
        <v>1374</v>
      </c>
    </row>
    <row r="1756" spans="1:9" ht="29" x14ac:dyDescent="0.35">
      <c r="A1756">
        <v>12</v>
      </c>
      <c r="B1756">
        <v>121</v>
      </c>
      <c r="C1756" t="s">
        <v>2235</v>
      </c>
      <c r="D1756" s="64">
        <f>VLOOKUP(C1756,'CHAS - Cook Co'!$C$1:$J$2762,2,FALSE) - VLOOKUP(C1756,'CHAS - Chicago'!$C$1:$J$2762,2,FALSE)</f>
        <v>2095</v>
      </c>
      <c r="E1756" t="s">
        <v>373</v>
      </c>
      <c r="F1756" s="71" t="s">
        <v>508</v>
      </c>
      <c r="G1756" s="71" t="s">
        <v>2109</v>
      </c>
      <c r="H1756" s="71" t="s">
        <v>2123</v>
      </c>
      <c r="I1756" s="71" t="s">
        <v>1657</v>
      </c>
    </row>
    <row r="1757" spans="1:9" ht="29" x14ac:dyDescent="0.35">
      <c r="A1757">
        <v>12</v>
      </c>
      <c r="B1757">
        <v>122</v>
      </c>
      <c r="C1757" t="s">
        <v>2236</v>
      </c>
      <c r="D1757" s="64">
        <f>VLOOKUP(C1757,'CHAS - Cook Co'!$C$1:$J$2762,2,FALSE) - VLOOKUP(C1757,'CHAS - Chicago'!$C$1:$J$2762,2,FALSE)</f>
        <v>850</v>
      </c>
      <c r="E1757" t="s">
        <v>373</v>
      </c>
      <c r="F1757" s="71" t="s">
        <v>508</v>
      </c>
      <c r="G1757" s="71" t="s">
        <v>2109</v>
      </c>
      <c r="H1757" s="71" t="s">
        <v>2123</v>
      </c>
      <c r="I1757" s="71" t="s">
        <v>1663</v>
      </c>
    </row>
    <row r="1758" spans="1:9" ht="29" x14ac:dyDescent="0.35">
      <c r="A1758">
        <v>12</v>
      </c>
      <c r="B1758">
        <v>123</v>
      </c>
      <c r="C1758" t="s">
        <v>2237</v>
      </c>
      <c r="D1758" s="64">
        <f>VLOOKUP(C1758,'CHAS - Cook Co'!$C$1:$J$2762,2,FALSE) - VLOOKUP(C1758,'CHAS - Chicago'!$C$1:$J$2762,2,FALSE)</f>
        <v>105</v>
      </c>
      <c r="E1758" t="s">
        <v>373</v>
      </c>
      <c r="F1758" s="71" t="s">
        <v>508</v>
      </c>
      <c r="G1758" s="71" t="s">
        <v>2109</v>
      </c>
      <c r="H1758" s="71" t="s">
        <v>2123</v>
      </c>
      <c r="I1758" s="71" t="s">
        <v>1667</v>
      </c>
    </row>
    <row r="1759" spans="1:9" ht="29" x14ac:dyDescent="0.35">
      <c r="A1759">
        <v>12</v>
      </c>
      <c r="B1759">
        <v>124</v>
      </c>
      <c r="C1759" t="s">
        <v>2238</v>
      </c>
      <c r="D1759" s="64">
        <f>VLOOKUP(C1759,'CHAS - Cook Co'!$C$1:$J$2762,2,FALSE) - VLOOKUP(C1759,'CHAS - Chicago'!$C$1:$J$2762,2,FALSE)</f>
        <v>0</v>
      </c>
      <c r="E1759" t="s">
        <v>373</v>
      </c>
      <c r="F1759" s="71" t="s">
        <v>508</v>
      </c>
      <c r="G1759" s="71" t="s">
        <v>2109</v>
      </c>
      <c r="H1759" s="71" t="s">
        <v>2123</v>
      </c>
      <c r="I1759" s="71" t="s">
        <v>1671</v>
      </c>
    </row>
    <row r="1760" spans="1:9" ht="29" x14ac:dyDescent="0.35">
      <c r="A1760">
        <v>12</v>
      </c>
      <c r="B1760">
        <v>125</v>
      </c>
      <c r="C1760" t="s">
        <v>2239</v>
      </c>
      <c r="D1760" s="64">
        <f>VLOOKUP(C1760,'CHAS - Cook Co'!$C$1:$J$2762,2,FALSE) - VLOOKUP(C1760,'CHAS - Chicago'!$C$1:$J$2762,2,FALSE)</f>
        <v>5095</v>
      </c>
      <c r="E1760" t="s">
        <v>366</v>
      </c>
      <c r="F1760" s="71" t="s">
        <v>508</v>
      </c>
      <c r="G1760" s="71" t="s">
        <v>2109</v>
      </c>
      <c r="H1760" s="71" t="s">
        <v>2129</v>
      </c>
      <c r="I1760" s="71" t="s">
        <v>1374</v>
      </c>
    </row>
    <row r="1761" spans="1:9" ht="29" x14ac:dyDescent="0.35">
      <c r="A1761">
        <v>12</v>
      </c>
      <c r="B1761">
        <v>126</v>
      </c>
      <c r="C1761" t="s">
        <v>2240</v>
      </c>
      <c r="D1761" s="64">
        <f>VLOOKUP(C1761,'CHAS - Cook Co'!$C$1:$J$2762,2,FALSE) - VLOOKUP(C1761,'CHAS - Chicago'!$C$1:$J$2762,2,FALSE)</f>
        <v>4730</v>
      </c>
      <c r="E1761" t="s">
        <v>373</v>
      </c>
      <c r="F1761" s="71" t="s">
        <v>508</v>
      </c>
      <c r="G1761" s="71" t="s">
        <v>2109</v>
      </c>
      <c r="H1761" s="71" t="s">
        <v>2129</v>
      </c>
      <c r="I1761" s="71" t="s">
        <v>1657</v>
      </c>
    </row>
    <row r="1762" spans="1:9" ht="29" x14ac:dyDescent="0.35">
      <c r="A1762">
        <v>12</v>
      </c>
      <c r="B1762">
        <v>127</v>
      </c>
      <c r="C1762" t="s">
        <v>2241</v>
      </c>
      <c r="D1762" s="64">
        <f>VLOOKUP(C1762,'CHAS - Cook Co'!$C$1:$J$2762,2,FALSE) - VLOOKUP(C1762,'CHAS - Chicago'!$C$1:$J$2762,2,FALSE)</f>
        <v>325</v>
      </c>
      <c r="E1762" t="s">
        <v>373</v>
      </c>
      <c r="F1762" s="71" t="s">
        <v>508</v>
      </c>
      <c r="G1762" s="71" t="s">
        <v>2109</v>
      </c>
      <c r="H1762" s="71" t="s">
        <v>2129</v>
      </c>
      <c r="I1762" s="71" t="s">
        <v>1663</v>
      </c>
    </row>
    <row r="1763" spans="1:9" ht="29" x14ac:dyDescent="0.35">
      <c r="A1763">
        <v>12</v>
      </c>
      <c r="B1763">
        <v>128</v>
      </c>
      <c r="C1763" t="s">
        <v>2242</v>
      </c>
      <c r="D1763" s="64">
        <f>VLOOKUP(C1763,'CHAS - Cook Co'!$C$1:$J$2762,2,FALSE) - VLOOKUP(C1763,'CHAS - Chicago'!$C$1:$J$2762,2,FALSE)</f>
        <v>35</v>
      </c>
      <c r="E1763" t="s">
        <v>373</v>
      </c>
      <c r="F1763" s="71" t="s">
        <v>508</v>
      </c>
      <c r="G1763" s="71" t="s">
        <v>2109</v>
      </c>
      <c r="H1763" s="71" t="s">
        <v>2129</v>
      </c>
      <c r="I1763" s="71" t="s">
        <v>1667</v>
      </c>
    </row>
    <row r="1764" spans="1:9" ht="29" x14ac:dyDescent="0.35">
      <c r="A1764">
        <v>12</v>
      </c>
      <c r="B1764">
        <v>129</v>
      </c>
      <c r="C1764" t="s">
        <v>2243</v>
      </c>
      <c r="D1764" s="64">
        <f>VLOOKUP(C1764,'CHAS - Cook Co'!$C$1:$J$2762,2,FALSE) - VLOOKUP(C1764,'CHAS - Chicago'!$C$1:$J$2762,2,FALSE)</f>
        <v>0</v>
      </c>
      <c r="E1764" t="s">
        <v>373</v>
      </c>
      <c r="F1764" s="71" t="s">
        <v>508</v>
      </c>
      <c r="G1764" s="71" t="s">
        <v>2109</v>
      </c>
      <c r="H1764" s="71" t="s">
        <v>2129</v>
      </c>
      <c r="I1764" s="71" t="s">
        <v>1671</v>
      </c>
    </row>
    <row r="1765" spans="1:9" ht="29" x14ac:dyDescent="0.35">
      <c r="A1765">
        <v>12</v>
      </c>
      <c r="B1765">
        <v>130</v>
      </c>
      <c r="C1765" t="s">
        <v>2244</v>
      </c>
      <c r="D1765" s="64">
        <f>VLOOKUP(C1765,'CHAS - Cook Co'!$C$1:$J$2762,2,FALSE) - VLOOKUP(C1765,'CHAS - Chicago'!$C$1:$J$2762,2,FALSE)</f>
        <v>51335</v>
      </c>
      <c r="E1765" t="s">
        <v>366</v>
      </c>
      <c r="F1765" s="71" t="s">
        <v>508</v>
      </c>
      <c r="G1765" s="71" t="s">
        <v>2135</v>
      </c>
      <c r="H1765" s="71" t="s">
        <v>363</v>
      </c>
      <c r="I1765" s="71" t="s">
        <v>1374</v>
      </c>
    </row>
    <row r="1766" spans="1:9" ht="29" x14ac:dyDescent="0.35">
      <c r="A1766">
        <v>12</v>
      </c>
      <c r="B1766">
        <v>131</v>
      </c>
      <c r="C1766" t="s">
        <v>2245</v>
      </c>
      <c r="D1766" s="64">
        <f>VLOOKUP(C1766,'CHAS - Cook Co'!$C$1:$J$2762,2,FALSE) - VLOOKUP(C1766,'CHAS - Chicago'!$C$1:$J$2762,2,FALSE)</f>
        <v>20840</v>
      </c>
      <c r="E1766" t="s">
        <v>366</v>
      </c>
      <c r="F1766" s="71" t="s">
        <v>508</v>
      </c>
      <c r="G1766" s="71" t="s">
        <v>2135</v>
      </c>
      <c r="H1766" s="71" t="s">
        <v>2111</v>
      </c>
      <c r="I1766" s="71" t="s">
        <v>1374</v>
      </c>
    </row>
    <row r="1767" spans="1:9" ht="29" x14ac:dyDescent="0.35">
      <c r="A1767">
        <v>12</v>
      </c>
      <c r="B1767">
        <v>132</v>
      </c>
      <c r="C1767" t="s">
        <v>2246</v>
      </c>
      <c r="D1767" s="64">
        <f>VLOOKUP(C1767,'CHAS - Cook Co'!$C$1:$J$2762,2,FALSE) - VLOOKUP(C1767,'CHAS - Chicago'!$C$1:$J$2762,2,FALSE)</f>
        <v>2660</v>
      </c>
      <c r="E1767" t="s">
        <v>373</v>
      </c>
      <c r="F1767" s="71" t="s">
        <v>508</v>
      </c>
      <c r="G1767" s="71" t="s">
        <v>2135</v>
      </c>
      <c r="H1767" s="71" t="s">
        <v>2111</v>
      </c>
      <c r="I1767" s="71" t="s">
        <v>1657</v>
      </c>
    </row>
    <row r="1768" spans="1:9" ht="29" x14ac:dyDescent="0.35">
      <c r="A1768">
        <v>12</v>
      </c>
      <c r="B1768">
        <v>133</v>
      </c>
      <c r="C1768" t="s">
        <v>2247</v>
      </c>
      <c r="D1768" s="64">
        <f>VLOOKUP(C1768,'CHAS - Cook Co'!$C$1:$J$2762,2,FALSE) - VLOOKUP(C1768,'CHAS - Chicago'!$C$1:$J$2762,2,FALSE)</f>
        <v>6020</v>
      </c>
      <c r="E1768" t="s">
        <v>373</v>
      </c>
      <c r="F1768" s="71" t="s">
        <v>508</v>
      </c>
      <c r="G1768" s="71" t="s">
        <v>2135</v>
      </c>
      <c r="H1768" s="71" t="s">
        <v>2111</v>
      </c>
      <c r="I1768" s="71" t="s">
        <v>1663</v>
      </c>
    </row>
    <row r="1769" spans="1:9" ht="29" x14ac:dyDescent="0.35">
      <c r="A1769">
        <v>12</v>
      </c>
      <c r="B1769">
        <v>134</v>
      </c>
      <c r="C1769" t="s">
        <v>2248</v>
      </c>
      <c r="D1769" s="64">
        <f>VLOOKUP(C1769,'CHAS - Cook Co'!$C$1:$J$2762,2,FALSE) - VLOOKUP(C1769,'CHAS - Chicago'!$C$1:$J$2762,2,FALSE)</f>
        <v>10880</v>
      </c>
      <c r="E1769" t="s">
        <v>373</v>
      </c>
      <c r="F1769" s="71" t="s">
        <v>508</v>
      </c>
      <c r="G1769" s="71" t="s">
        <v>2135</v>
      </c>
      <c r="H1769" s="71" t="s">
        <v>2111</v>
      </c>
      <c r="I1769" s="71" t="s">
        <v>1667</v>
      </c>
    </row>
    <row r="1770" spans="1:9" ht="29" x14ac:dyDescent="0.35">
      <c r="A1770">
        <v>12</v>
      </c>
      <c r="B1770">
        <v>135</v>
      </c>
      <c r="C1770" t="s">
        <v>2249</v>
      </c>
      <c r="D1770" s="64">
        <f>VLOOKUP(C1770,'CHAS - Cook Co'!$C$1:$J$2762,2,FALSE) - VLOOKUP(C1770,'CHAS - Chicago'!$C$1:$J$2762,2,FALSE)</f>
        <v>1280</v>
      </c>
      <c r="E1770" t="s">
        <v>373</v>
      </c>
      <c r="F1770" s="71" t="s">
        <v>508</v>
      </c>
      <c r="G1770" s="71" t="s">
        <v>2135</v>
      </c>
      <c r="H1770" s="71" t="s">
        <v>2111</v>
      </c>
      <c r="I1770" s="71" t="s">
        <v>1671</v>
      </c>
    </row>
    <row r="1771" spans="1:9" ht="29" x14ac:dyDescent="0.35">
      <c r="A1771">
        <v>12</v>
      </c>
      <c r="B1771">
        <v>136</v>
      </c>
      <c r="C1771" t="s">
        <v>2250</v>
      </c>
      <c r="D1771" s="64">
        <f>VLOOKUP(C1771,'CHAS - Cook Co'!$C$1:$J$2762,2,FALSE) - VLOOKUP(C1771,'CHAS - Chicago'!$C$1:$J$2762,2,FALSE)</f>
        <v>10155</v>
      </c>
      <c r="E1771" t="s">
        <v>366</v>
      </c>
      <c r="F1771" s="71" t="s">
        <v>508</v>
      </c>
      <c r="G1771" s="71" t="s">
        <v>2135</v>
      </c>
      <c r="H1771" s="71" t="s">
        <v>2117</v>
      </c>
      <c r="I1771" s="71" t="s">
        <v>1374</v>
      </c>
    </row>
    <row r="1772" spans="1:9" ht="29" x14ac:dyDescent="0.35">
      <c r="A1772">
        <v>12</v>
      </c>
      <c r="B1772">
        <v>137</v>
      </c>
      <c r="C1772" t="s">
        <v>2251</v>
      </c>
      <c r="D1772" s="64">
        <f>VLOOKUP(C1772,'CHAS - Cook Co'!$C$1:$J$2762,2,FALSE) - VLOOKUP(C1772,'CHAS - Chicago'!$C$1:$J$2762,2,FALSE)</f>
        <v>6225</v>
      </c>
      <c r="E1772" t="s">
        <v>373</v>
      </c>
      <c r="F1772" s="71" t="s">
        <v>508</v>
      </c>
      <c r="G1772" s="71" t="s">
        <v>2135</v>
      </c>
      <c r="H1772" s="71" t="s">
        <v>2117</v>
      </c>
      <c r="I1772" s="71" t="s">
        <v>1657</v>
      </c>
    </row>
    <row r="1773" spans="1:9" ht="29" x14ac:dyDescent="0.35">
      <c r="A1773">
        <v>12</v>
      </c>
      <c r="B1773">
        <v>138</v>
      </c>
      <c r="C1773" t="s">
        <v>2252</v>
      </c>
      <c r="D1773" s="64">
        <f>VLOOKUP(C1773,'CHAS - Cook Co'!$C$1:$J$2762,2,FALSE) - VLOOKUP(C1773,'CHAS - Chicago'!$C$1:$J$2762,2,FALSE)</f>
        <v>3285</v>
      </c>
      <c r="E1773" t="s">
        <v>373</v>
      </c>
      <c r="F1773" s="71" t="s">
        <v>508</v>
      </c>
      <c r="G1773" s="71" t="s">
        <v>2135</v>
      </c>
      <c r="H1773" s="71" t="s">
        <v>2117</v>
      </c>
      <c r="I1773" s="71" t="s">
        <v>1663</v>
      </c>
    </row>
    <row r="1774" spans="1:9" ht="29" x14ac:dyDescent="0.35">
      <c r="A1774">
        <v>12</v>
      </c>
      <c r="B1774">
        <v>139</v>
      </c>
      <c r="C1774" t="s">
        <v>2253</v>
      </c>
      <c r="D1774" s="64">
        <f>VLOOKUP(C1774,'CHAS - Cook Co'!$C$1:$J$2762,2,FALSE) - VLOOKUP(C1774,'CHAS - Chicago'!$C$1:$J$2762,2,FALSE)</f>
        <v>645</v>
      </c>
      <c r="E1774" t="s">
        <v>373</v>
      </c>
      <c r="F1774" s="71" t="s">
        <v>508</v>
      </c>
      <c r="G1774" s="71" t="s">
        <v>2135</v>
      </c>
      <c r="H1774" s="71" t="s">
        <v>2117</v>
      </c>
      <c r="I1774" s="71" t="s">
        <v>1667</v>
      </c>
    </row>
    <row r="1775" spans="1:9" ht="29" x14ac:dyDescent="0.35">
      <c r="A1775">
        <v>12</v>
      </c>
      <c r="B1775">
        <v>140</v>
      </c>
      <c r="C1775" t="s">
        <v>2254</v>
      </c>
      <c r="D1775" s="64">
        <f>VLOOKUP(C1775,'CHAS - Cook Co'!$C$1:$J$2762,2,FALSE) - VLOOKUP(C1775,'CHAS - Chicago'!$C$1:$J$2762,2,FALSE)</f>
        <v>0</v>
      </c>
      <c r="E1775" t="s">
        <v>373</v>
      </c>
      <c r="F1775" s="71" t="s">
        <v>508</v>
      </c>
      <c r="G1775" s="71" t="s">
        <v>2135</v>
      </c>
      <c r="H1775" s="71" t="s">
        <v>2117</v>
      </c>
      <c r="I1775" s="71" t="s">
        <v>1671</v>
      </c>
    </row>
    <row r="1776" spans="1:9" ht="29" x14ac:dyDescent="0.35">
      <c r="A1776">
        <v>12</v>
      </c>
      <c r="B1776">
        <v>141</v>
      </c>
      <c r="C1776" t="s">
        <v>2255</v>
      </c>
      <c r="D1776" s="64">
        <f>VLOOKUP(C1776,'CHAS - Cook Co'!$C$1:$J$2762,2,FALSE) - VLOOKUP(C1776,'CHAS - Chicago'!$C$1:$J$2762,2,FALSE)</f>
        <v>9430</v>
      </c>
      <c r="E1776" t="s">
        <v>366</v>
      </c>
      <c r="F1776" s="71" t="s">
        <v>508</v>
      </c>
      <c r="G1776" s="71" t="s">
        <v>2135</v>
      </c>
      <c r="H1776" s="71" t="s">
        <v>2123</v>
      </c>
      <c r="I1776" s="71" t="s">
        <v>1374</v>
      </c>
    </row>
    <row r="1777" spans="1:9" ht="29" x14ac:dyDescent="0.35">
      <c r="A1777">
        <v>12</v>
      </c>
      <c r="B1777">
        <v>142</v>
      </c>
      <c r="C1777" t="s">
        <v>2256</v>
      </c>
      <c r="D1777" s="64">
        <f>VLOOKUP(C1777,'CHAS - Cook Co'!$C$1:$J$2762,2,FALSE) - VLOOKUP(C1777,'CHAS - Chicago'!$C$1:$J$2762,2,FALSE)</f>
        <v>8270</v>
      </c>
      <c r="E1777" t="s">
        <v>373</v>
      </c>
      <c r="F1777" s="71" t="s">
        <v>508</v>
      </c>
      <c r="G1777" s="71" t="s">
        <v>2135</v>
      </c>
      <c r="H1777" s="71" t="s">
        <v>2123</v>
      </c>
      <c r="I1777" s="71" t="s">
        <v>1657</v>
      </c>
    </row>
    <row r="1778" spans="1:9" ht="29" x14ac:dyDescent="0.35">
      <c r="A1778">
        <v>12</v>
      </c>
      <c r="B1778">
        <v>143</v>
      </c>
      <c r="C1778" t="s">
        <v>2257</v>
      </c>
      <c r="D1778" s="64">
        <f>VLOOKUP(C1778,'CHAS - Cook Co'!$C$1:$J$2762,2,FALSE) - VLOOKUP(C1778,'CHAS - Chicago'!$C$1:$J$2762,2,FALSE)</f>
        <v>1030</v>
      </c>
      <c r="E1778" t="s">
        <v>373</v>
      </c>
      <c r="F1778" s="71" t="s">
        <v>508</v>
      </c>
      <c r="G1778" s="71" t="s">
        <v>2135</v>
      </c>
      <c r="H1778" s="71" t="s">
        <v>2123</v>
      </c>
      <c r="I1778" s="71" t="s">
        <v>1663</v>
      </c>
    </row>
    <row r="1779" spans="1:9" ht="29" x14ac:dyDescent="0.35">
      <c r="A1779">
        <v>12</v>
      </c>
      <c r="B1779">
        <v>144</v>
      </c>
      <c r="C1779" t="s">
        <v>2258</v>
      </c>
      <c r="D1779" s="64">
        <f>VLOOKUP(C1779,'CHAS - Cook Co'!$C$1:$J$2762,2,FALSE) - VLOOKUP(C1779,'CHAS - Chicago'!$C$1:$J$2762,2,FALSE)</f>
        <v>125</v>
      </c>
      <c r="E1779" t="s">
        <v>373</v>
      </c>
      <c r="F1779" s="71" t="s">
        <v>508</v>
      </c>
      <c r="G1779" s="71" t="s">
        <v>2135</v>
      </c>
      <c r="H1779" s="71" t="s">
        <v>2123</v>
      </c>
      <c r="I1779" s="71" t="s">
        <v>1667</v>
      </c>
    </row>
    <row r="1780" spans="1:9" ht="29" x14ac:dyDescent="0.35">
      <c r="A1780">
        <v>12</v>
      </c>
      <c r="B1780">
        <v>145</v>
      </c>
      <c r="C1780" t="s">
        <v>2259</v>
      </c>
      <c r="D1780" s="64">
        <f>VLOOKUP(C1780,'CHAS - Cook Co'!$C$1:$J$2762,2,FALSE) - VLOOKUP(C1780,'CHAS - Chicago'!$C$1:$J$2762,2,FALSE)</f>
        <v>0</v>
      </c>
      <c r="E1780" t="s">
        <v>373</v>
      </c>
      <c r="F1780" s="71" t="s">
        <v>508</v>
      </c>
      <c r="G1780" s="71" t="s">
        <v>2135</v>
      </c>
      <c r="H1780" s="71" t="s">
        <v>2123</v>
      </c>
      <c r="I1780" s="71" t="s">
        <v>1671</v>
      </c>
    </row>
    <row r="1781" spans="1:9" ht="29" x14ac:dyDescent="0.35">
      <c r="A1781">
        <v>12</v>
      </c>
      <c r="B1781">
        <v>146</v>
      </c>
      <c r="C1781" t="s">
        <v>2260</v>
      </c>
      <c r="D1781" s="64">
        <f>VLOOKUP(C1781,'CHAS - Cook Co'!$C$1:$J$2762,2,FALSE) - VLOOKUP(C1781,'CHAS - Chicago'!$C$1:$J$2762,2,FALSE)</f>
        <v>10915</v>
      </c>
      <c r="E1781" t="s">
        <v>366</v>
      </c>
      <c r="F1781" s="71" t="s">
        <v>508</v>
      </c>
      <c r="G1781" s="71" t="s">
        <v>2135</v>
      </c>
      <c r="H1781" s="71" t="s">
        <v>2129</v>
      </c>
      <c r="I1781" s="71" t="s">
        <v>1374</v>
      </c>
    </row>
    <row r="1782" spans="1:9" ht="29" x14ac:dyDescent="0.35">
      <c r="A1782">
        <v>12</v>
      </c>
      <c r="B1782">
        <v>147</v>
      </c>
      <c r="C1782" t="s">
        <v>2261</v>
      </c>
      <c r="D1782" s="64">
        <f>VLOOKUP(C1782,'CHAS - Cook Co'!$C$1:$J$2762,2,FALSE) - VLOOKUP(C1782,'CHAS - Chicago'!$C$1:$J$2762,2,FALSE)</f>
        <v>10565</v>
      </c>
      <c r="E1782" t="s">
        <v>373</v>
      </c>
      <c r="F1782" s="71" t="s">
        <v>508</v>
      </c>
      <c r="G1782" s="71" t="s">
        <v>2135</v>
      </c>
      <c r="H1782" s="71" t="s">
        <v>2129</v>
      </c>
      <c r="I1782" s="71" t="s">
        <v>1657</v>
      </c>
    </row>
    <row r="1783" spans="1:9" ht="29" x14ac:dyDescent="0.35">
      <c r="A1783">
        <v>12</v>
      </c>
      <c r="B1783">
        <v>148</v>
      </c>
      <c r="C1783" t="s">
        <v>2262</v>
      </c>
      <c r="D1783" s="64">
        <f>VLOOKUP(C1783,'CHAS - Cook Co'!$C$1:$J$2762,2,FALSE) - VLOOKUP(C1783,'CHAS - Chicago'!$C$1:$J$2762,2,FALSE)</f>
        <v>270</v>
      </c>
      <c r="E1783" t="s">
        <v>373</v>
      </c>
      <c r="F1783" s="71" t="s">
        <v>508</v>
      </c>
      <c r="G1783" s="71" t="s">
        <v>2135</v>
      </c>
      <c r="H1783" s="71" t="s">
        <v>2129</v>
      </c>
      <c r="I1783" s="71" t="s">
        <v>1663</v>
      </c>
    </row>
    <row r="1784" spans="1:9" ht="29" x14ac:dyDescent="0.35">
      <c r="A1784">
        <v>12</v>
      </c>
      <c r="B1784">
        <v>149</v>
      </c>
      <c r="C1784" t="s">
        <v>2263</v>
      </c>
      <c r="D1784" s="64">
        <f>VLOOKUP(C1784,'CHAS - Cook Co'!$C$1:$J$2762,2,FALSE) - VLOOKUP(C1784,'CHAS - Chicago'!$C$1:$J$2762,2,FALSE)</f>
        <v>80</v>
      </c>
      <c r="E1784" t="s">
        <v>373</v>
      </c>
      <c r="F1784" s="71" t="s">
        <v>508</v>
      </c>
      <c r="G1784" s="71" t="s">
        <v>2135</v>
      </c>
      <c r="H1784" s="71" t="s">
        <v>2129</v>
      </c>
      <c r="I1784" s="71" t="s">
        <v>1667</v>
      </c>
    </row>
    <row r="1785" spans="1:9" ht="29" x14ac:dyDescent="0.35">
      <c r="A1785">
        <v>12</v>
      </c>
      <c r="B1785">
        <v>150</v>
      </c>
      <c r="C1785" t="s">
        <v>2264</v>
      </c>
      <c r="D1785" s="64">
        <f>VLOOKUP(C1785,'CHAS - Cook Co'!$C$1:$J$2762,2,FALSE) - VLOOKUP(C1785,'CHAS - Chicago'!$C$1:$J$2762,2,FALSE)</f>
        <v>0</v>
      </c>
      <c r="E1785" t="s">
        <v>373</v>
      </c>
      <c r="F1785" s="71" t="s">
        <v>508</v>
      </c>
      <c r="G1785" s="71" t="s">
        <v>2135</v>
      </c>
      <c r="H1785" s="71" t="s">
        <v>2129</v>
      </c>
      <c r="I1785" s="71" t="s">
        <v>1671</v>
      </c>
    </row>
    <row r="1786" spans="1:9" ht="29" x14ac:dyDescent="0.35">
      <c r="A1786">
        <v>12</v>
      </c>
      <c r="B1786">
        <v>151</v>
      </c>
      <c r="C1786" t="s">
        <v>2265</v>
      </c>
      <c r="D1786" s="64">
        <f>VLOOKUP(C1786,'CHAS - Cook Co'!$C$1:$J$2762,2,FALSE) - VLOOKUP(C1786,'CHAS - Chicago'!$C$1:$J$2762,2,FALSE)</f>
        <v>101725</v>
      </c>
      <c r="E1786" t="s">
        <v>366</v>
      </c>
      <c r="F1786" s="71" t="s">
        <v>508</v>
      </c>
      <c r="G1786" s="71" t="s">
        <v>2157</v>
      </c>
      <c r="H1786" s="71" t="s">
        <v>363</v>
      </c>
      <c r="I1786" s="71" t="s">
        <v>1374</v>
      </c>
    </row>
    <row r="1787" spans="1:9" ht="29" x14ac:dyDescent="0.35">
      <c r="A1787">
        <v>12</v>
      </c>
      <c r="B1787">
        <v>152</v>
      </c>
      <c r="C1787" t="s">
        <v>2266</v>
      </c>
      <c r="D1787" s="64">
        <f>VLOOKUP(C1787,'CHAS - Cook Co'!$C$1:$J$2762,2,FALSE) - VLOOKUP(C1787,'CHAS - Chicago'!$C$1:$J$2762,2,FALSE)</f>
        <v>46335</v>
      </c>
      <c r="E1787" t="s">
        <v>366</v>
      </c>
      <c r="F1787" s="71" t="s">
        <v>508</v>
      </c>
      <c r="G1787" s="71" t="s">
        <v>2157</v>
      </c>
      <c r="H1787" s="71" t="s">
        <v>2111</v>
      </c>
      <c r="I1787" s="71" t="s">
        <v>1374</v>
      </c>
    </row>
    <row r="1788" spans="1:9" ht="29" x14ac:dyDescent="0.35">
      <c r="A1788">
        <v>12</v>
      </c>
      <c r="B1788">
        <v>153</v>
      </c>
      <c r="C1788" t="s">
        <v>2267</v>
      </c>
      <c r="D1788" s="64">
        <f>VLOOKUP(C1788,'CHAS - Cook Co'!$C$1:$J$2762,2,FALSE) - VLOOKUP(C1788,'CHAS - Chicago'!$C$1:$J$2762,2,FALSE)</f>
        <v>5710</v>
      </c>
      <c r="E1788" t="s">
        <v>373</v>
      </c>
      <c r="F1788" s="71" t="s">
        <v>508</v>
      </c>
      <c r="G1788" s="71" t="s">
        <v>2157</v>
      </c>
      <c r="H1788" s="71" t="s">
        <v>2111</v>
      </c>
      <c r="I1788" s="71" t="s">
        <v>1657</v>
      </c>
    </row>
    <row r="1789" spans="1:9" ht="29" x14ac:dyDescent="0.35">
      <c r="A1789">
        <v>12</v>
      </c>
      <c r="B1789">
        <v>154</v>
      </c>
      <c r="C1789" t="s">
        <v>2268</v>
      </c>
      <c r="D1789" s="64">
        <f>VLOOKUP(C1789,'CHAS - Cook Co'!$C$1:$J$2762,2,FALSE) - VLOOKUP(C1789,'CHAS - Chicago'!$C$1:$J$2762,2,FALSE)</f>
        <v>12690</v>
      </c>
      <c r="E1789" t="s">
        <v>373</v>
      </c>
      <c r="F1789" s="71" t="s">
        <v>508</v>
      </c>
      <c r="G1789" s="71" t="s">
        <v>2157</v>
      </c>
      <c r="H1789" s="71" t="s">
        <v>2111</v>
      </c>
      <c r="I1789" s="71" t="s">
        <v>1663</v>
      </c>
    </row>
    <row r="1790" spans="1:9" ht="29" x14ac:dyDescent="0.35">
      <c r="A1790">
        <v>12</v>
      </c>
      <c r="B1790">
        <v>155</v>
      </c>
      <c r="C1790" t="s">
        <v>2269</v>
      </c>
      <c r="D1790" s="64">
        <f>VLOOKUP(C1790,'CHAS - Cook Co'!$C$1:$J$2762,2,FALSE) - VLOOKUP(C1790,'CHAS - Chicago'!$C$1:$J$2762,2,FALSE)</f>
        <v>24145</v>
      </c>
      <c r="E1790" t="s">
        <v>373</v>
      </c>
      <c r="F1790" s="71" t="s">
        <v>508</v>
      </c>
      <c r="G1790" s="71" t="s">
        <v>2157</v>
      </c>
      <c r="H1790" s="71" t="s">
        <v>2111</v>
      </c>
      <c r="I1790" s="71" t="s">
        <v>1667</v>
      </c>
    </row>
    <row r="1791" spans="1:9" ht="29" x14ac:dyDescent="0.35">
      <c r="A1791">
        <v>12</v>
      </c>
      <c r="B1791">
        <v>156</v>
      </c>
      <c r="C1791" t="s">
        <v>2270</v>
      </c>
      <c r="D1791" s="64">
        <f>VLOOKUP(C1791,'CHAS - Cook Co'!$C$1:$J$2762,2,FALSE) - VLOOKUP(C1791,'CHAS - Chicago'!$C$1:$J$2762,2,FALSE)</f>
        <v>3785</v>
      </c>
      <c r="E1791" t="s">
        <v>373</v>
      </c>
      <c r="F1791" s="71" t="s">
        <v>508</v>
      </c>
      <c r="G1791" s="71" t="s">
        <v>2157</v>
      </c>
      <c r="H1791" s="71" t="s">
        <v>2111</v>
      </c>
      <c r="I1791" s="71" t="s">
        <v>1671</v>
      </c>
    </row>
    <row r="1792" spans="1:9" ht="29" x14ac:dyDescent="0.35">
      <c r="A1792">
        <v>12</v>
      </c>
      <c r="B1792">
        <v>157</v>
      </c>
      <c r="C1792" t="s">
        <v>2271</v>
      </c>
      <c r="D1792" s="64">
        <f>VLOOKUP(C1792,'CHAS - Cook Co'!$C$1:$J$2762,2,FALSE) - VLOOKUP(C1792,'CHAS - Chicago'!$C$1:$J$2762,2,FALSE)</f>
        <v>21590</v>
      </c>
      <c r="E1792" t="s">
        <v>366</v>
      </c>
      <c r="F1792" s="71" t="s">
        <v>508</v>
      </c>
      <c r="G1792" s="71" t="s">
        <v>2157</v>
      </c>
      <c r="H1792" s="71" t="s">
        <v>2117</v>
      </c>
      <c r="I1792" s="71" t="s">
        <v>1374</v>
      </c>
    </row>
    <row r="1793" spans="1:9" ht="29" x14ac:dyDescent="0.35">
      <c r="A1793">
        <v>12</v>
      </c>
      <c r="B1793">
        <v>158</v>
      </c>
      <c r="C1793" t="s">
        <v>2272</v>
      </c>
      <c r="D1793" s="64">
        <f>VLOOKUP(C1793,'CHAS - Cook Co'!$C$1:$J$2762,2,FALSE) - VLOOKUP(C1793,'CHAS - Chicago'!$C$1:$J$2762,2,FALSE)</f>
        <v>13925</v>
      </c>
      <c r="E1793" t="s">
        <v>373</v>
      </c>
      <c r="F1793" s="71" t="s">
        <v>508</v>
      </c>
      <c r="G1793" s="71" t="s">
        <v>2157</v>
      </c>
      <c r="H1793" s="71" t="s">
        <v>2117</v>
      </c>
      <c r="I1793" s="71" t="s">
        <v>1657</v>
      </c>
    </row>
    <row r="1794" spans="1:9" ht="29" x14ac:dyDescent="0.35">
      <c r="A1794">
        <v>12</v>
      </c>
      <c r="B1794">
        <v>159</v>
      </c>
      <c r="C1794" t="s">
        <v>2273</v>
      </c>
      <c r="D1794" s="64">
        <f>VLOOKUP(C1794,'CHAS - Cook Co'!$C$1:$J$2762,2,FALSE) - VLOOKUP(C1794,'CHAS - Chicago'!$C$1:$J$2762,2,FALSE)</f>
        <v>6885</v>
      </c>
      <c r="E1794" t="s">
        <v>373</v>
      </c>
      <c r="F1794" s="71" t="s">
        <v>508</v>
      </c>
      <c r="G1794" s="71" t="s">
        <v>2157</v>
      </c>
      <c r="H1794" s="71" t="s">
        <v>2117</v>
      </c>
      <c r="I1794" s="71" t="s">
        <v>1663</v>
      </c>
    </row>
    <row r="1795" spans="1:9" ht="29" x14ac:dyDescent="0.35">
      <c r="A1795">
        <v>12</v>
      </c>
      <c r="B1795">
        <v>160</v>
      </c>
      <c r="C1795" t="s">
        <v>2274</v>
      </c>
      <c r="D1795" s="64">
        <f>VLOOKUP(C1795,'CHAS - Cook Co'!$C$1:$J$2762,2,FALSE) - VLOOKUP(C1795,'CHAS - Chicago'!$C$1:$J$2762,2,FALSE)</f>
        <v>780</v>
      </c>
      <c r="E1795" t="s">
        <v>373</v>
      </c>
      <c r="F1795" s="71" t="s">
        <v>508</v>
      </c>
      <c r="G1795" s="71" t="s">
        <v>2157</v>
      </c>
      <c r="H1795" s="71" t="s">
        <v>2117</v>
      </c>
      <c r="I1795" s="71" t="s">
        <v>1667</v>
      </c>
    </row>
    <row r="1796" spans="1:9" ht="29" x14ac:dyDescent="0.35">
      <c r="A1796">
        <v>12</v>
      </c>
      <c r="B1796">
        <v>161</v>
      </c>
      <c r="C1796" t="s">
        <v>2275</v>
      </c>
      <c r="D1796" s="64">
        <f>VLOOKUP(C1796,'CHAS - Cook Co'!$C$1:$J$2762,2,FALSE) - VLOOKUP(C1796,'CHAS - Chicago'!$C$1:$J$2762,2,FALSE)</f>
        <v>0</v>
      </c>
      <c r="E1796" t="s">
        <v>373</v>
      </c>
      <c r="F1796" s="71" t="s">
        <v>508</v>
      </c>
      <c r="G1796" s="71" t="s">
        <v>2157</v>
      </c>
      <c r="H1796" s="71" t="s">
        <v>2117</v>
      </c>
      <c r="I1796" s="71" t="s">
        <v>1671</v>
      </c>
    </row>
    <row r="1797" spans="1:9" ht="29" x14ac:dyDescent="0.35">
      <c r="A1797">
        <v>12</v>
      </c>
      <c r="B1797">
        <v>162</v>
      </c>
      <c r="C1797" t="s">
        <v>2276</v>
      </c>
      <c r="D1797" s="64">
        <f>VLOOKUP(C1797,'CHAS - Cook Co'!$C$1:$J$2762,2,FALSE) - VLOOKUP(C1797,'CHAS - Chicago'!$C$1:$J$2762,2,FALSE)</f>
        <v>18610</v>
      </c>
      <c r="E1797" t="s">
        <v>366</v>
      </c>
      <c r="F1797" s="71" t="s">
        <v>508</v>
      </c>
      <c r="G1797" s="71" t="s">
        <v>2157</v>
      </c>
      <c r="H1797" s="71" t="s">
        <v>2123</v>
      </c>
      <c r="I1797" s="71" t="s">
        <v>1374</v>
      </c>
    </row>
    <row r="1798" spans="1:9" ht="29" x14ac:dyDescent="0.35">
      <c r="A1798">
        <v>12</v>
      </c>
      <c r="B1798">
        <v>163</v>
      </c>
      <c r="C1798" t="s">
        <v>2277</v>
      </c>
      <c r="D1798" s="64">
        <f>VLOOKUP(C1798,'CHAS - Cook Co'!$C$1:$J$2762,2,FALSE) - VLOOKUP(C1798,'CHAS - Chicago'!$C$1:$J$2762,2,FALSE)</f>
        <v>17195</v>
      </c>
      <c r="E1798" t="s">
        <v>373</v>
      </c>
      <c r="F1798" s="71" t="s">
        <v>508</v>
      </c>
      <c r="G1798" s="71" t="s">
        <v>2157</v>
      </c>
      <c r="H1798" s="71" t="s">
        <v>2123</v>
      </c>
      <c r="I1798" s="71" t="s">
        <v>1657</v>
      </c>
    </row>
    <row r="1799" spans="1:9" ht="29" x14ac:dyDescent="0.35">
      <c r="A1799">
        <v>12</v>
      </c>
      <c r="B1799">
        <v>164</v>
      </c>
      <c r="C1799" t="s">
        <v>2278</v>
      </c>
      <c r="D1799" s="64">
        <f>VLOOKUP(C1799,'CHAS - Cook Co'!$C$1:$J$2762,2,FALSE) - VLOOKUP(C1799,'CHAS - Chicago'!$C$1:$J$2762,2,FALSE)</f>
        <v>1310</v>
      </c>
      <c r="E1799" t="s">
        <v>373</v>
      </c>
      <c r="F1799" s="71" t="s">
        <v>508</v>
      </c>
      <c r="G1799" s="71" t="s">
        <v>2157</v>
      </c>
      <c r="H1799" s="71" t="s">
        <v>2123</v>
      </c>
      <c r="I1799" s="71" t="s">
        <v>1663</v>
      </c>
    </row>
    <row r="1800" spans="1:9" ht="29" x14ac:dyDescent="0.35">
      <c r="A1800">
        <v>12</v>
      </c>
      <c r="B1800">
        <v>165</v>
      </c>
      <c r="C1800" t="s">
        <v>2279</v>
      </c>
      <c r="D1800" s="64">
        <f>VLOOKUP(C1800,'CHAS - Cook Co'!$C$1:$J$2762,2,FALSE) - VLOOKUP(C1800,'CHAS - Chicago'!$C$1:$J$2762,2,FALSE)</f>
        <v>115</v>
      </c>
      <c r="E1800" t="s">
        <v>373</v>
      </c>
      <c r="F1800" s="71" t="s">
        <v>508</v>
      </c>
      <c r="G1800" s="71" t="s">
        <v>2157</v>
      </c>
      <c r="H1800" s="71" t="s">
        <v>2123</v>
      </c>
      <c r="I1800" s="71" t="s">
        <v>1667</v>
      </c>
    </row>
    <row r="1801" spans="1:9" ht="29" x14ac:dyDescent="0.35">
      <c r="A1801">
        <v>12</v>
      </c>
      <c r="B1801">
        <v>166</v>
      </c>
      <c r="C1801" t="s">
        <v>2280</v>
      </c>
      <c r="D1801" s="64">
        <f>VLOOKUP(C1801,'CHAS - Cook Co'!$C$1:$J$2762,2,FALSE) - VLOOKUP(C1801,'CHAS - Chicago'!$C$1:$J$2762,2,FALSE)</f>
        <v>0</v>
      </c>
      <c r="E1801" t="s">
        <v>373</v>
      </c>
      <c r="F1801" s="71" t="s">
        <v>508</v>
      </c>
      <c r="G1801" s="71" t="s">
        <v>2157</v>
      </c>
      <c r="H1801" s="71" t="s">
        <v>2123</v>
      </c>
      <c r="I1801" s="71" t="s">
        <v>1671</v>
      </c>
    </row>
    <row r="1802" spans="1:9" ht="29" x14ac:dyDescent="0.35">
      <c r="A1802">
        <v>12</v>
      </c>
      <c r="B1802">
        <v>167</v>
      </c>
      <c r="C1802" t="s">
        <v>2281</v>
      </c>
      <c r="D1802" s="64">
        <f>VLOOKUP(C1802,'CHAS - Cook Co'!$C$1:$J$2762,2,FALSE) - VLOOKUP(C1802,'CHAS - Chicago'!$C$1:$J$2762,2,FALSE)</f>
        <v>15190</v>
      </c>
      <c r="E1802" t="s">
        <v>366</v>
      </c>
      <c r="F1802" s="71" t="s">
        <v>508</v>
      </c>
      <c r="G1802" s="71" t="s">
        <v>2157</v>
      </c>
      <c r="H1802" s="71" t="s">
        <v>2129</v>
      </c>
      <c r="I1802" s="71" t="s">
        <v>1374</v>
      </c>
    </row>
    <row r="1803" spans="1:9" ht="29" x14ac:dyDescent="0.35">
      <c r="A1803">
        <v>12</v>
      </c>
      <c r="B1803">
        <v>168</v>
      </c>
      <c r="C1803" t="s">
        <v>2282</v>
      </c>
      <c r="D1803" s="64">
        <f>VLOOKUP(C1803,'CHAS - Cook Co'!$C$1:$J$2762,2,FALSE) - VLOOKUP(C1803,'CHAS - Chicago'!$C$1:$J$2762,2,FALSE)</f>
        <v>14875</v>
      </c>
      <c r="E1803" t="s">
        <v>373</v>
      </c>
      <c r="F1803" s="71" t="s">
        <v>508</v>
      </c>
      <c r="G1803" s="71" t="s">
        <v>2157</v>
      </c>
      <c r="H1803" s="71" t="s">
        <v>2129</v>
      </c>
      <c r="I1803" s="71" t="s">
        <v>1657</v>
      </c>
    </row>
    <row r="1804" spans="1:9" ht="29" x14ac:dyDescent="0.35">
      <c r="A1804">
        <v>12</v>
      </c>
      <c r="B1804">
        <v>169</v>
      </c>
      <c r="C1804" t="s">
        <v>2283</v>
      </c>
      <c r="D1804" s="64">
        <f>VLOOKUP(C1804,'CHAS - Cook Co'!$C$1:$J$2762,2,FALSE) - VLOOKUP(C1804,'CHAS - Chicago'!$C$1:$J$2762,2,FALSE)</f>
        <v>275</v>
      </c>
      <c r="E1804" t="s">
        <v>373</v>
      </c>
      <c r="F1804" s="71" t="s">
        <v>508</v>
      </c>
      <c r="G1804" s="71" t="s">
        <v>2157</v>
      </c>
      <c r="H1804" s="71" t="s">
        <v>2129</v>
      </c>
      <c r="I1804" s="71" t="s">
        <v>1663</v>
      </c>
    </row>
    <row r="1805" spans="1:9" ht="29" x14ac:dyDescent="0.35">
      <c r="A1805">
        <v>12</v>
      </c>
      <c r="B1805">
        <v>170</v>
      </c>
      <c r="C1805" t="s">
        <v>2284</v>
      </c>
      <c r="D1805" s="64">
        <f>VLOOKUP(C1805,'CHAS - Cook Co'!$C$1:$J$2762,2,FALSE) - VLOOKUP(C1805,'CHAS - Chicago'!$C$1:$J$2762,2,FALSE)</f>
        <v>35</v>
      </c>
      <c r="E1805" t="s">
        <v>373</v>
      </c>
      <c r="F1805" s="71" t="s">
        <v>508</v>
      </c>
      <c r="G1805" s="71" t="s">
        <v>2157</v>
      </c>
      <c r="H1805" s="71" t="s">
        <v>2129</v>
      </c>
      <c r="I1805" s="71" t="s">
        <v>1667</v>
      </c>
    </row>
    <row r="1806" spans="1:9" ht="29" x14ac:dyDescent="0.35">
      <c r="A1806">
        <v>12</v>
      </c>
      <c r="B1806">
        <v>171</v>
      </c>
      <c r="C1806" t="s">
        <v>2285</v>
      </c>
      <c r="D1806" s="64">
        <f>VLOOKUP(C1806,'CHAS - Cook Co'!$C$1:$J$2762,2,FALSE) - VLOOKUP(C1806,'CHAS - Chicago'!$C$1:$J$2762,2,FALSE)</f>
        <v>0</v>
      </c>
      <c r="E1806" t="s">
        <v>373</v>
      </c>
      <c r="F1806" s="71" t="s">
        <v>508</v>
      </c>
      <c r="G1806" s="71" t="s">
        <v>2157</v>
      </c>
      <c r="H1806" s="71" t="s">
        <v>2129</v>
      </c>
      <c r="I1806" s="71" t="s">
        <v>1671</v>
      </c>
    </row>
    <row r="1807" spans="1:9" ht="29" x14ac:dyDescent="0.35">
      <c r="A1807">
        <v>12</v>
      </c>
      <c r="B1807">
        <v>172</v>
      </c>
      <c r="C1807" t="s">
        <v>2286</v>
      </c>
      <c r="D1807" s="64">
        <f>VLOOKUP(C1807,'CHAS - Cook Co'!$C$1:$J$2762,2,FALSE) - VLOOKUP(C1807,'CHAS - Chicago'!$C$1:$J$2762,2,FALSE)</f>
        <v>50360</v>
      </c>
      <c r="E1807" t="s">
        <v>366</v>
      </c>
      <c r="F1807" s="71" t="s">
        <v>508</v>
      </c>
      <c r="G1807" s="71" t="s">
        <v>2179</v>
      </c>
      <c r="H1807" s="71" t="s">
        <v>363</v>
      </c>
      <c r="I1807" s="71" t="s">
        <v>1374</v>
      </c>
    </row>
    <row r="1808" spans="1:9" ht="29" x14ac:dyDescent="0.35">
      <c r="A1808">
        <v>12</v>
      </c>
      <c r="B1808">
        <v>173</v>
      </c>
      <c r="C1808" t="s">
        <v>2287</v>
      </c>
      <c r="D1808" s="64">
        <f>VLOOKUP(C1808,'CHAS - Cook Co'!$C$1:$J$2762,2,FALSE) - VLOOKUP(C1808,'CHAS - Chicago'!$C$1:$J$2762,2,FALSE)</f>
        <v>25595</v>
      </c>
      <c r="E1808" t="s">
        <v>366</v>
      </c>
      <c r="F1808" s="71" t="s">
        <v>508</v>
      </c>
      <c r="G1808" s="71" t="s">
        <v>2179</v>
      </c>
      <c r="H1808" s="71" t="s">
        <v>2111</v>
      </c>
      <c r="I1808" s="71" t="s">
        <v>1374</v>
      </c>
    </row>
    <row r="1809" spans="1:9" ht="29" x14ac:dyDescent="0.35">
      <c r="A1809">
        <v>12</v>
      </c>
      <c r="B1809">
        <v>174</v>
      </c>
      <c r="C1809" t="s">
        <v>2288</v>
      </c>
      <c r="D1809" s="64">
        <f>VLOOKUP(C1809,'CHAS - Cook Co'!$C$1:$J$2762,2,FALSE) - VLOOKUP(C1809,'CHAS - Chicago'!$C$1:$J$2762,2,FALSE)</f>
        <v>3440</v>
      </c>
      <c r="E1809" t="s">
        <v>373</v>
      </c>
      <c r="F1809" s="71" t="s">
        <v>508</v>
      </c>
      <c r="G1809" s="71" t="s">
        <v>2179</v>
      </c>
      <c r="H1809" s="71" t="s">
        <v>2111</v>
      </c>
      <c r="I1809" s="71" t="s">
        <v>1657</v>
      </c>
    </row>
    <row r="1810" spans="1:9" ht="29" x14ac:dyDescent="0.35">
      <c r="A1810">
        <v>12</v>
      </c>
      <c r="B1810">
        <v>175</v>
      </c>
      <c r="C1810" t="s">
        <v>2289</v>
      </c>
      <c r="D1810" s="64">
        <f>VLOOKUP(C1810,'CHAS - Cook Co'!$C$1:$J$2762,2,FALSE) - VLOOKUP(C1810,'CHAS - Chicago'!$C$1:$J$2762,2,FALSE)</f>
        <v>6525</v>
      </c>
      <c r="E1810" t="s">
        <v>373</v>
      </c>
      <c r="F1810" s="71" t="s">
        <v>508</v>
      </c>
      <c r="G1810" s="71" t="s">
        <v>2179</v>
      </c>
      <c r="H1810" s="71" t="s">
        <v>2111</v>
      </c>
      <c r="I1810" s="71" t="s">
        <v>1663</v>
      </c>
    </row>
    <row r="1811" spans="1:9" ht="29" x14ac:dyDescent="0.35">
      <c r="A1811">
        <v>12</v>
      </c>
      <c r="B1811">
        <v>176</v>
      </c>
      <c r="C1811" t="s">
        <v>2290</v>
      </c>
      <c r="D1811" s="64">
        <f>VLOOKUP(C1811,'CHAS - Cook Co'!$C$1:$J$2762,2,FALSE) - VLOOKUP(C1811,'CHAS - Chicago'!$C$1:$J$2762,2,FALSE)</f>
        <v>13650</v>
      </c>
      <c r="E1811" t="s">
        <v>373</v>
      </c>
      <c r="F1811" s="71" t="s">
        <v>508</v>
      </c>
      <c r="G1811" s="71" t="s">
        <v>2179</v>
      </c>
      <c r="H1811" s="71" t="s">
        <v>2111</v>
      </c>
      <c r="I1811" s="71" t="s">
        <v>1667</v>
      </c>
    </row>
    <row r="1812" spans="1:9" ht="29" x14ac:dyDescent="0.35">
      <c r="A1812">
        <v>12</v>
      </c>
      <c r="B1812">
        <v>177</v>
      </c>
      <c r="C1812" t="s">
        <v>2291</v>
      </c>
      <c r="D1812" s="64">
        <f>VLOOKUP(C1812,'CHAS - Cook Co'!$C$1:$J$2762,2,FALSE) - VLOOKUP(C1812,'CHAS - Chicago'!$C$1:$J$2762,2,FALSE)</f>
        <v>1980</v>
      </c>
      <c r="E1812" t="s">
        <v>373</v>
      </c>
      <c r="F1812" s="71" t="s">
        <v>508</v>
      </c>
      <c r="G1812" s="71" t="s">
        <v>2179</v>
      </c>
      <c r="H1812" s="71" t="s">
        <v>2111</v>
      </c>
      <c r="I1812" s="71" t="s">
        <v>1671</v>
      </c>
    </row>
    <row r="1813" spans="1:9" ht="29" x14ac:dyDescent="0.35">
      <c r="A1813">
        <v>12</v>
      </c>
      <c r="B1813">
        <v>178</v>
      </c>
      <c r="C1813" t="s">
        <v>2292</v>
      </c>
      <c r="D1813" s="64">
        <f>VLOOKUP(C1813,'CHAS - Cook Co'!$C$1:$J$2762,2,FALSE) - VLOOKUP(C1813,'CHAS - Chicago'!$C$1:$J$2762,2,FALSE)</f>
        <v>9760</v>
      </c>
      <c r="E1813" t="s">
        <v>366</v>
      </c>
      <c r="F1813" s="71" t="s">
        <v>508</v>
      </c>
      <c r="G1813" s="71" t="s">
        <v>2179</v>
      </c>
      <c r="H1813" s="71" t="s">
        <v>2117</v>
      </c>
      <c r="I1813" s="71" t="s">
        <v>1374</v>
      </c>
    </row>
    <row r="1814" spans="1:9" ht="29" x14ac:dyDescent="0.35">
      <c r="A1814">
        <v>12</v>
      </c>
      <c r="B1814">
        <v>179</v>
      </c>
      <c r="C1814" t="s">
        <v>2293</v>
      </c>
      <c r="D1814" s="64">
        <f>VLOOKUP(C1814,'CHAS - Cook Co'!$C$1:$J$2762,2,FALSE) - VLOOKUP(C1814,'CHAS - Chicago'!$C$1:$J$2762,2,FALSE)</f>
        <v>5875</v>
      </c>
      <c r="E1814" t="s">
        <v>373</v>
      </c>
      <c r="F1814" s="71" t="s">
        <v>508</v>
      </c>
      <c r="G1814" s="71" t="s">
        <v>2179</v>
      </c>
      <c r="H1814" s="71" t="s">
        <v>2117</v>
      </c>
      <c r="I1814" s="71" t="s">
        <v>1657</v>
      </c>
    </row>
    <row r="1815" spans="1:9" ht="29" x14ac:dyDescent="0.35">
      <c r="A1815">
        <v>12</v>
      </c>
      <c r="B1815">
        <v>180</v>
      </c>
      <c r="C1815" t="s">
        <v>2294</v>
      </c>
      <c r="D1815" s="64">
        <f>VLOOKUP(C1815,'CHAS - Cook Co'!$C$1:$J$2762,2,FALSE) - VLOOKUP(C1815,'CHAS - Chicago'!$C$1:$J$2762,2,FALSE)</f>
        <v>3475</v>
      </c>
      <c r="E1815" t="s">
        <v>373</v>
      </c>
      <c r="F1815" s="71" t="s">
        <v>508</v>
      </c>
      <c r="G1815" s="71" t="s">
        <v>2179</v>
      </c>
      <c r="H1815" s="71" t="s">
        <v>2117</v>
      </c>
      <c r="I1815" s="71" t="s">
        <v>1663</v>
      </c>
    </row>
    <row r="1816" spans="1:9" ht="29" x14ac:dyDescent="0.35">
      <c r="A1816">
        <v>12</v>
      </c>
      <c r="B1816">
        <v>181</v>
      </c>
      <c r="C1816" t="s">
        <v>2295</v>
      </c>
      <c r="D1816" s="64">
        <f>VLOOKUP(C1816,'CHAS - Cook Co'!$C$1:$J$2762,2,FALSE) - VLOOKUP(C1816,'CHAS - Chicago'!$C$1:$J$2762,2,FALSE)</f>
        <v>410</v>
      </c>
      <c r="E1816" t="s">
        <v>373</v>
      </c>
      <c r="F1816" s="71" t="s">
        <v>508</v>
      </c>
      <c r="G1816" s="71" t="s">
        <v>2179</v>
      </c>
      <c r="H1816" s="71" t="s">
        <v>2117</v>
      </c>
      <c r="I1816" s="71" t="s">
        <v>1667</v>
      </c>
    </row>
    <row r="1817" spans="1:9" ht="29" x14ac:dyDescent="0.35">
      <c r="A1817">
        <v>12</v>
      </c>
      <c r="B1817">
        <v>182</v>
      </c>
      <c r="C1817" t="s">
        <v>2296</v>
      </c>
      <c r="D1817" s="64">
        <f>VLOOKUP(C1817,'CHAS - Cook Co'!$C$1:$J$2762,2,FALSE) - VLOOKUP(C1817,'CHAS - Chicago'!$C$1:$J$2762,2,FALSE)</f>
        <v>0</v>
      </c>
      <c r="E1817" t="s">
        <v>373</v>
      </c>
      <c r="F1817" s="71" t="s">
        <v>508</v>
      </c>
      <c r="G1817" s="71" t="s">
        <v>2179</v>
      </c>
      <c r="H1817" s="71" t="s">
        <v>2117</v>
      </c>
      <c r="I1817" s="71" t="s">
        <v>1671</v>
      </c>
    </row>
    <row r="1818" spans="1:9" ht="29" x14ac:dyDescent="0.35">
      <c r="A1818">
        <v>12</v>
      </c>
      <c r="B1818">
        <v>183</v>
      </c>
      <c r="C1818" t="s">
        <v>2297</v>
      </c>
      <c r="D1818" s="64">
        <f>VLOOKUP(C1818,'CHAS - Cook Co'!$C$1:$J$2762,2,FALSE) - VLOOKUP(C1818,'CHAS - Chicago'!$C$1:$J$2762,2,FALSE)</f>
        <v>8270</v>
      </c>
      <c r="E1818" t="s">
        <v>366</v>
      </c>
      <c r="F1818" s="71" t="s">
        <v>508</v>
      </c>
      <c r="G1818" s="71" t="s">
        <v>2179</v>
      </c>
      <c r="H1818" s="71" t="s">
        <v>2123</v>
      </c>
      <c r="I1818" s="71" t="s">
        <v>1374</v>
      </c>
    </row>
    <row r="1819" spans="1:9" ht="29" x14ac:dyDescent="0.35">
      <c r="A1819">
        <v>12</v>
      </c>
      <c r="B1819">
        <v>184</v>
      </c>
      <c r="C1819" t="s">
        <v>2298</v>
      </c>
      <c r="D1819" s="64">
        <f>VLOOKUP(C1819,'CHAS - Cook Co'!$C$1:$J$2762,2,FALSE) - VLOOKUP(C1819,'CHAS - Chicago'!$C$1:$J$2762,2,FALSE)</f>
        <v>7575</v>
      </c>
      <c r="E1819" t="s">
        <v>373</v>
      </c>
      <c r="F1819" s="71" t="s">
        <v>508</v>
      </c>
      <c r="G1819" s="71" t="s">
        <v>2179</v>
      </c>
      <c r="H1819" s="71" t="s">
        <v>2123</v>
      </c>
      <c r="I1819" s="71" t="s">
        <v>1657</v>
      </c>
    </row>
    <row r="1820" spans="1:9" ht="29" x14ac:dyDescent="0.35">
      <c r="A1820">
        <v>12</v>
      </c>
      <c r="B1820">
        <v>185</v>
      </c>
      <c r="C1820" t="s">
        <v>2299</v>
      </c>
      <c r="D1820" s="64">
        <f>VLOOKUP(C1820,'CHAS - Cook Co'!$C$1:$J$2762,2,FALSE) - VLOOKUP(C1820,'CHAS - Chicago'!$C$1:$J$2762,2,FALSE)</f>
        <v>690</v>
      </c>
      <c r="E1820" t="s">
        <v>373</v>
      </c>
      <c r="F1820" s="71" t="s">
        <v>508</v>
      </c>
      <c r="G1820" s="71" t="s">
        <v>2179</v>
      </c>
      <c r="H1820" s="71" t="s">
        <v>2123</v>
      </c>
      <c r="I1820" s="71" t="s">
        <v>1663</v>
      </c>
    </row>
    <row r="1821" spans="1:9" ht="29" x14ac:dyDescent="0.35">
      <c r="A1821">
        <v>12</v>
      </c>
      <c r="B1821">
        <v>186</v>
      </c>
      <c r="C1821" t="s">
        <v>2300</v>
      </c>
      <c r="D1821" s="64">
        <f>VLOOKUP(C1821,'CHAS - Cook Co'!$C$1:$J$2762,2,FALSE) - VLOOKUP(C1821,'CHAS - Chicago'!$C$1:$J$2762,2,FALSE)</f>
        <v>10</v>
      </c>
      <c r="E1821" t="s">
        <v>373</v>
      </c>
      <c r="F1821" s="71" t="s">
        <v>508</v>
      </c>
      <c r="G1821" s="71" t="s">
        <v>2179</v>
      </c>
      <c r="H1821" s="71" t="s">
        <v>2123</v>
      </c>
      <c r="I1821" s="71" t="s">
        <v>1667</v>
      </c>
    </row>
    <row r="1822" spans="1:9" ht="29" x14ac:dyDescent="0.35">
      <c r="A1822">
        <v>12</v>
      </c>
      <c r="B1822">
        <v>187</v>
      </c>
      <c r="C1822" t="s">
        <v>2301</v>
      </c>
      <c r="D1822" s="64">
        <f>VLOOKUP(C1822,'CHAS - Cook Co'!$C$1:$J$2762,2,FALSE) - VLOOKUP(C1822,'CHAS - Chicago'!$C$1:$J$2762,2,FALSE)</f>
        <v>0</v>
      </c>
      <c r="E1822" t="s">
        <v>373</v>
      </c>
      <c r="F1822" s="71" t="s">
        <v>508</v>
      </c>
      <c r="G1822" s="71" t="s">
        <v>2179</v>
      </c>
      <c r="H1822" s="71" t="s">
        <v>2123</v>
      </c>
      <c r="I1822" s="71" t="s">
        <v>1671</v>
      </c>
    </row>
    <row r="1823" spans="1:9" ht="29" x14ac:dyDescent="0.35">
      <c r="A1823">
        <v>12</v>
      </c>
      <c r="B1823">
        <v>188</v>
      </c>
      <c r="C1823" t="s">
        <v>2302</v>
      </c>
      <c r="D1823" s="64">
        <f>VLOOKUP(C1823,'CHAS - Cook Co'!$C$1:$J$2762,2,FALSE) - VLOOKUP(C1823,'CHAS - Chicago'!$C$1:$J$2762,2,FALSE)</f>
        <v>6740</v>
      </c>
      <c r="E1823" t="s">
        <v>366</v>
      </c>
      <c r="F1823" s="71" t="s">
        <v>508</v>
      </c>
      <c r="G1823" s="71" t="s">
        <v>2179</v>
      </c>
      <c r="H1823" s="71" t="s">
        <v>2129</v>
      </c>
      <c r="I1823" s="71" t="s">
        <v>1374</v>
      </c>
    </row>
    <row r="1824" spans="1:9" ht="29" x14ac:dyDescent="0.35">
      <c r="A1824">
        <v>12</v>
      </c>
      <c r="B1824">
        <v>189</v>
      </c>
      <c r="C1824" t="s">
        <v>2303</v>
      </c>
      <c r="D1824" s="64">
        <f>VLOOKUP(C1824,'CHAS - Cook Co'!$C$1:$J$2762,2,FALSE) - VLOOKUP(C1824,'CHAS - Chicago'!$C$1:$J$2762,2,FALSE)</f>
        <v>6660</v>
      </c>
      <c r="E1824" t="s">
        <v>373</v>
      </c>
      <c r="F1824" s="71" t="s">
        <v>508</v>
      </c>
      <c r="G1824" s="71" t="s">
        <v>2179</v>
      </c>
      <c r="H1824" s="71" t="s">
        <v>2129</v>
      </c>
      <c r="I1824" s="71" t="s">
        <v>1657</v>
      </c>
    </row>
    <row r="1825" spans="1:9" ht="29" x14ac:dyDescent="0.35">
      <c r="A1825">
        <v>12</v>
      </c>
      <c r="B1825">
        <v>190</v>
      </c>
      <c r="C1825" t="s">
        <v>2304</v>
      </c>
      <c r="D1825" s="64">
        <f>VLOOKUP(C1825,'CHAS - Cook Co'!$C$1:$J$2762,2,FALSE) - VLOOKUP(C1825,'CHAS - Chicago'!$C$1:$J$2762,2,FALSE)</f>
        <v>80</v>
      </c>
      <c r="E1825" t="s">
        <v>373</v>
      </c>
      <c r="F1825" s="71" t="s">
        <v>508</v>
      </c>
      <c r="G1825" s="71" t="s">
        <v>2179</v>
      </c>
      <c r="H1825" s="71" t="s">
        <v>2129</v>
      </c>
      <c r="I1825" s="71" t="s">
        <v>1663</v>
      </c>
    </row>
    <row r="1826" spans="1:9" ht="29" x14ac:dyDescent="0.35">
      <c r="A1826">
        <v>12</v>
      </c>
      <c r="B1826">
        <v>191</v>
      </c>
      <c r="C1826" t="s">
        <v>2305</v>
      </c>
      <c r="D1826" s="64">
        <f>VLOOKUP(C1826,'CHAS - Cook Co'!$C$1:$J$2762,2,FALSE) - VLOOKUP(C1826,'CHAS - Chicago'!$C$1:$J$2762,2,FALSE)</f>
        <v>0</v>
      </c>
      <c r="E1826" t="s">
        <v>373</v>
      </c>
      <c r="F1826" s="71" t="s">
        <v>508</v>
      </c>
      <c r="G1826" s="71" t="s">
        <v>2179</v>
      </c>
      <c r="H1826" s="71" t="s">
        <v>2129</v>
      </c>
      <c r="I1826" s="71" t="s">
        <v>1667</v>
      </c>
    </row>
    <row r="1827" spans="1:9" ht="29" x14ac:dyDescent="0.35">
      <c r="A1827">
        <v>12</v>
      </c>
      <c r="B1827">
        <v>192</v>
      </c>
      <c r="C1827" t="s">
        <v>2306</v>
      </c>
      <c r="D1827" s="64">
        <f>VLOOKUP(C1827,'CHAS - Cook Co'!$C$1:$J$2762,2,FALSE) - VLOOKUP(C1827,'CHAS - Chicago'!$C$1:$J$2762,2,FALSE)</f>
        <v>0</v>
      </c>
      <c r="E1827" t="s">
        <v>373</v>
      </c>
      <c r="F1827" s="71" t="s">
        <v>508</v>
      </c>
      <c r="G1827" s="71" t="s">
        <v>2179</v>
      </c>
      <c r="H1827" s="71" t="s">
        <v>2129</v>
      </c>
      <c r="I1827" s="71" t="s">
        <v>1671</v>
      </c>
    </row>
    <row r="1828" spans="1:9" ht="29" x14ac:dyDescent="0.35">
      <c r="A1828">
        <v>12</v>
      </c>
      <c r="B1828">
        <v>193</v>
      </c>
      <c r="C1828" t="s">
        <v>2307</v>
      </c>
      <c r="D1828" s="64">
        <f>VLOOKUP(C1828,'CHAS - Cook Co'!$C$1:$J$2762,2,FALSE) - VLOOKUP(C1828,'CHAS - Chicago'!$C$1:$J$2762,2,FALSE)</f>
        <v>41415</v>
      </c>
      <c r="E1828" t="s">
        <v>366</v>
      </c>
      <c r="F1828" s="71" t="s">
        <v>508</v>
      </c>
      <c r="G1828" s="71" t="s">
        <v>2201</v>
      </c>
      <c r="H1828" s="71" t="s">
        <v>363</v>
      </c>
      <c r="I1828" s="71" t="s">
        <v>1374</v>
      </c>
    </row>
    <row r="1829" spans="1:9" ht="29" x14ac:dyDescent="0.35">
      <c r="A1829">
        <v>12</v>
      </c>
      <c r="B1829">
        <v>194</v>
      </c>
      <c r="C1829" t="s">
        <v>2308</v>
      </c>
      <c r="D1829" s="64">
        <f>VLOOKUP(C1829,'CHAS - Cook Co'!$C$1:$J$2762,2,FALSE) - VLOOKUP(C1829,'CHAS - Chicago'!$C$1:$J$2762,2,FALSE)</f>
        <v>19595</v>
      </c>
      <c r="E1829" t="s">
        <v>366</v>
      </c>
      <c r="F1829" s="71" t="s">
        <v>508</v>
      </c>
      <c r="G1829" s="71" t="s">
        <v>2201</v>
      </c>
      <c r="H1829" s="71" t="s">
        <v>2111</v>
      </c>
      <c r="I1829" s="71" t="s">
        <v>1374</v>
      </c>
    </row>
    <row r="1830" spans="1:9" ht="29" x14ac:dyDescent="0.35">
      <c r="A1830">
        <v>12</v>
      </c>
      <c r="B1830">
        <v>195</v>
      </c>
      <c r="C1830" t="s">
        <v>2309</v>
      </c>
      <c r="D1830" s="64">
        <f>VLOOKUP(C1830,'CHAS - Cook Co'!$C$1:$J$2762,2,FALSE) - VLOOKUP(C1830,'CHAS - Chicago'!$C$1:$J$2762,2,FALSE)</f>
        <v>2995</v>
      </c>
      <c r="E1830" t="s">
        <v>373</v>
      </c>
      <c r="F1830" s="71" t="s">
        <v>508</v>
      </c>
      <c r="G1830" s="71" t="s">
        <v>2201</v>
      </c>
      <c r="H1830" s="71" t="s">
        <v>2111</v>
      </c>
      <c r="I1830" s="71" t="s">
        <v>1657</v>
      </c>
    </row>
    <row r="1831" spans="1:9" ht="29" x14ac:dyDescent="0.35">
      <c r="A1831">
        <v>12</v>
      </c>
      <c r="B1831">
        <v>196</v>
      </c>
      <c r="C1831" t="s">
        <v>2310</v>
      </c>
      <c r="D1831" s="64">
        <f>VLOOKUP(C1831,'CHAS - Cook Co'!$C$1:$J$2762,2,FALSE) - VLOOKUP(C1831,'CHAS - Chicago'!$C$1:$J$2762,2,FALSE)</f>
        <v>5340</v>
      </c>
      <c r="E1831" t="s">
        <v>373</v>
      </c>
      <c r="F1831" s="71" t="s">
        <v>508</v>
      </c>
      <c r="G1831" s="71" t="s">
        <v>2201</v>
      </c>
      <c r="H1831" s="71" t="s">
        <v>2111</v>
      </c>
      <c r="I1831" s="71" t="s">
        <v>1663</v>
      </c>
    </row>
    <row r="1832" spans="1:9" ht="29" x14ac:dyDescent="0.35">
      <c r="A1832">
        <v>12</v>
      </c>
      <c r="B1832">
        <v>197</v>
      </c>
      <c r="C1832" t="s">
        <v>2311</v>
      </c>
      <c r="D1832" s="64">
        <f>VLOOKUP(C1832,'CHAS - Cook Co'!$C$1:$J$2762,2,FALSE) - VLOOKUP(C1832,'CHAS - Chicago'!$C$1:$J$2762,2,FALSE)</f>
        <v>9830</v>
      </c>
      <c r="E1832" t="s">
        <v>373</v>
      </c>
      <c r="F1832" s="71" t="s">
        <v>508</v>
      </c>
      <c r="G1832" s="71" t="s">
        <v>2201</v>
      </c>
      <c r="H1832" s="71" t="s">
        <v>2111</v>
      </c>
      <c r="I1832" s="71" t="s">
        <v>1667</v>
      </c>
    </row>
    <row r="1833" spans="1:9" ht="29" x14ac:dyDescent="0.35">
      <c r="A1833">
        <v>12</v>
      </c>
      <c r="B1833">
        <v>198</v>
      </c>
      <c r="C1833" t="s">
        <v>2312</v>
      </c>
      <c r="D1833" s="64">
        <f>VLOOKUP(C1833,'CHAS - Cook Co'!$C$1:$J$2762,2,FALSE) - VLOOKUP(C1833,'CHAS - Chicago'!$C$1:$J$2762,2,FALSE)</f>
        <v>1430</v>
      </c>
      <c r="E1833" t="s">
        <v>373</v>
      </c>
      <c r="F1833" s="71" t="s">
        <v>508</v>
      </c>
      <c r="G1833" s="71" t="s">
        <v>2201</v>
      </c>
      <c r="H1833" s="71" t="s">
        <v>2111</v>
      </c>
      <c r="I1833" s="71" t="s">
        <v>1671</v>
      </c>
    </row>
    <row r="1834" spans="1:9" ht="29" x14ac:dyDescent="0.35">
      <c r="A1834">
        <v>12</v>
      </c>
      <c r="B1834">
        <v>199</v>
      </c>
      <c r="C1834" t="s">
        <v>2313</v>
      </c>
      <c r="D1834" s="64">
        <f>VLOOKUP(C1834,'CHAS - Cook Co'!$C$1:$J$2762,2,FALSE) - VLOOKUP(C1834,'CHAS - Chicago'!$C$1:$J$2762,2,FALSE)</f>
        <v>9660</v>
      </c>
      <c r="E1834" t="s">
        <v>366</v>
      </c>
      <c r="F1834" s="71" t="s">
        <v>508</v>
      </c>
      <c r="G1834" s="71" t="s">
        <v>2201</v>
      </c>
      <c r="H1834" s="71" t="s">
        <v>2117</v>
      </c>
      <c r="I1834" s="71" t="s">
        <v>1374</v>
      </c>
    </row>
    <row r="1835" spans="1:9" ht="29" x14ac:dyDescent="0.35">
      <c r="A1835">
        <v>12</v>
      </c>
      <c r="B1835">
        <v>200</v>
      </c>
      <c r="C1835" t="s">
        <v>2314</v>
      </c>
      <c r="D1835" s="64">
        <f>VLOOKUP(C1835,'CHAS - Cook Co'!$C$1:$J$2762,2,FALSE) - VLOOKUP(C1835,'CHAS - Chicago'!$C$1:$J$2762,2,FALSE)</f>
        <v>6850</v>
      </c>
      <c r="E1835" t="s">
        <v>373</v>
      </c>
      <c r="F1835" s="71" t="s">
        <v>508</v>
      </c>
      <c r="G1835" s="71" t="s">
        <v>2201</v>
      </c>
      <c r="H1835" s="71" t="s">
        <v>2117</v>
      </c>
      <c r="I1835" s="71" t="s">
        <v>1657</v>
      </c>
    </row>
    <row r="1836" spans="1:9" ht="29" x14ac:dyDescent="0.35">
      <c r="A1836">
        <v>12</v>
      </c>
      <c r="B1836">
        <v>201</v>
      </c>
      <c r="C1836" t="s">
        <v>2315</v>
      </c>
      <c r="D1836" s="64">
        <f>VLOOKUP(C1836,'CHAS - Cook Co'!$C$1:$J$2762,2,FALSE) - VLOOKUP(C1836,'CHAS - Chicago'!$C$1:$J$2762,2,FALSE)</f>
        <v>2610</v>
      </c>
      <c r="E1836" t="s">
        <v>373</v>
      </c>
      <c r="F1836" s="71" t="s">
        <v>508</v>
      </c>
      <c r="G1836" s="71" t="s">
        <v>2201</v>
      </c>
      <c r="H1836" s="71" t="s">
        <v>2117</v>
      </c>
      <c r="I1836" s="71" t="s">
        <v>1663</v>
      </c>
    </row>
    <row r="1837" spans="1:9" ht="29" x14ac:dyDescent="0.35">
      <c r="A1837">
        <v>12</v>
      </c>
      <c r="B1837">
        <v>202</v>
      </c>
      <c r="C1837" t="s">
        <v>2316</v>
      </c>
      <c r="D1837" s="64">
        <f>VLOOKUP(C1837,'CHAS - Cook Co'!$C$1:$J$2762,2,FALSE) - VLOOKUP(C1837,'CHAS - Chicago'!$C$1:$J$2762,2,FALSE)</f>
        <v>200</v>
      </c>
      <c r="E1837" t="s">
        <v>373</v>
      </c>
      <c r="F1837" s="71" t="s">
        <v>508</v>
      </c>
      <c r="G1837" s="71" t="s">
        <v>2201</v>
      </c>
      <c r="H1837" s="71" t="s">
        <v>2117</v>
      </c>
      <c r="I1837" s="71" t="s">
        <v>1667</v>
      </c>
    </row>
    <row r="1838" spans="1:9" ht="29" x14ac:dyDescent="0.35">
      <c r="A1838">
        <v>12</v>
      </c>
      <c r="B1838">
        <v>203</v>
      </c>
      <c r="C1838" t="s">
        <v>2317</v>
      </c>
      <c r="D1838" s="64">
        <f>VLOOKUP(C1838,'CHAS - Cook Co'!$C$1:$J$2762,2,FALSE) - VLOOKUP(C1838,'CHAS - Chicago'!$C$1:$J$2762,2,FALSE)</f>
        <v>0</v>
      </c>
      <c r="E1838" t="s">
        <v>373</v>
      </c>
      <c r="F1838" s="71" t="s">
        <v>508</v>
      </c>
      <c r="G1838" s="71" t="s">
        <v>2201</v>
      </c>
      <c r="H1838" s="71" t="s">
        <v>2117</v>
      </c>
      <c r="I1838" s="71" t="s">
        <v>1671</v>
      </c>
    </row>
    <row r="1839" spans="1:9" ht="29" x14ac:dyDescent="0.35">
      <c r="A1839">
        <v>12</v>
      </c>
      <c r="B1839">
        <v>204</v>
      </c>
      <c r="C1839" t="s">
        <v>2318</v>
      </c>
      <c r="D1839" s="64">
        <f>VLOOKUP(C1839,'CHAS - Cook Co'!$C$1:$J$2762,2,FALSE) - VLOOKUP(C1839,'CHAS - Chicago'!$C$1:$J$2762,2,FALSE)</f>
        <v>6375</v>
      </c>
      <c r="E1839" t="s">
        <v>366</v>
      </c>
      <c r="F1839" s="71" t="s">
        <v>508</v>
      </c>
      <c r="G1839" s="71" t="s">
        <v>2201</v>
      </c>
      <c r="H1839" s="71" t="s">
        <v>2123</v>
      </c>
      <c r="I1839" s="71" t="s">
        <v>1374</v>
      </c>
    </row>
    <row r="1840" spans="1:9" ht="29" x14ac:dyDescent="0.35">
      <c r="A1840">
        <v>12</v>
      </c>
      <c r="B1840">
        <v>205</v>
      </c>
      <c r="C1840" t="s">
        <v>2319</v>
      </c>
      <c r="D1840" s="64">
        <f>VLOOKUP(C1840,'CHAS - Cook Co'!$C$1:$J$2762,2,FALSE) - VLOOKUP(C1840,'CHAS - Chicago'!$C$1:$J$2762,2,FALSE)</f>
        <v>5755</v>
      </c>
      <c r="E1840" t="s">
        <v>373</v>
      </c>
      <c r="F1840" s="71" t="s">
        <v>508</v>
      </c>
      <c r="G1840" s="71" t="s">
        <v>2201</v>
      </c>
      <c r="H1840" s="71" t="s">
        <v>2123</v>
      </c>
      <c r="I1840" s="71" t="s">
        <v>1657</v>
      </c>
    </row>
    <row r="1841" spans="1:9" ht="29" x14ac:dyDescent="0.35">
      <c r="A1841">
        <v>12</v>
      </c>
      <c r="B1841">
        <v>206</v>
      </c>
      <c r="C1841" t="s">
        <v>2320</v>
      </c>
      <c r="D1841" s="64">
        <f>VLOOKUP(C1841,'CHAS - Cook Co'!$C$1:$J$2762,2,FALSE) - VLOOKUP(C1841,'CHAS - Chicago'!$C$1:$J$2762,2,FALSE)</f>
        <v>550</v>
      </c>
      <c r="E1841" t="s">
        <v>373</v>
      </c>
      <c r="F1841" s="71" t="s">
        <v>508</v>
      </c>
      <c r="G1841" s="71" t="s">
        <v>2201</v>
      </c>
      <c r="H1841" s="71" t="s">
        <v>2123</v>
      </c>
      <c r="I1841" s="71" t="s">
        <v>1663</v>
      </c>
    </row>
    <row r="1842" spans="1:9" ht="29" x14ac:dyDescent="0.35">
      <c r="A1842">
        <v>12</v>
      </c>
      <c r="B1842">
        <v>207</v>
      </c>
      <c r="C1842" t="s">
        <v>2321</v>
      </c>
      <c r="D1842" s="64">
        <f>VLOOKUP(C1842,'CHAS - Cook Co'!$C$1:$J$2762,2,FALSE) - VLOOKUP(C1842,'CHAS - Chicago'!$C$1:$J$2762,2,FALSE)</f>
        <v>75</v>
      </c>
      <c r="E1842" t="s">
        <v>373</v>
      </c>
      <c r="F1842" s="71" t="s">
        <v>508</v>
      </c>
      <c r="G1842" s="71" t="s">
        <v>2201</v>
      </c>
      <c r="H1842" s="71" t="s">
        <v>2123</v>
      </c>
      <c r="I1842" s="71" t="s">
        <v>1667</v>
      </c>
    </row>
    <row r="1843" spans="1:9" ht="29" x14ac:dyDescent="0.35">
      <c r="A1843">
        <v>12</v>
      </c>
      <c r="B1843">
        <v>208</v>
      </c>
      <c r="C1843" t="s">
        <v>2322</v>
      </c>
      <c r="D1843" s="64">
        <f>VLOOKUP(C1843,'CHAS - Cook Co'!$C$1:$J$2762,2,FALSE) - VLOOKUP(C1843,'CHAS - Chicago'!$C$1:$J$2762,2,FALSE)</f>
        <v>0</v>
      </c>
      <c r="E1843" t="s">
        <v>373</v>
      </c>
      <c r="F1843" s="71" t="s">
        <v>508</v>
      </c>
      <c r="G1843" s="71" t="s">
        <v>2201</v>
      </c>
      <c r="H1843" s="71" t="s">
        <v>2123</v>
      </c>
      <c r="I1843" s="71" t="s">
        <v>1671</v>
      </c>
    </row>
    <row r="1844" spans="1:9" ht="29" x14ac:dyDescent="0.35">
      <c r="A1844">
        <v>12</v>
      </c>
      <c r="B1844">
        <v>209</v>
      </c>
      <c r="C1844" t="s">
        <v>2323</v>
      </c>
      <c r="D1844" s="64">
        <f>VLOOKUP(C1844,'CHAS - Cook Co'!$C$1:$J$2762,2,FALSE) - VLOOKUP(C1844,'CHAS - Chicago'!$C$1:$J$2762,2,FALSE)</f>
        <v>5785</v>
      </c>
      <c r="E1844" t="s">
        <v>366</v>
      </c>
      <c r="F1844" s="71" t="s">
        <v>508</v>
      </c>
      <c r="G1844" s="71" t="s">
        <v>2201</v>
      </c>
      <c r="H1844" s="71" t="s">
        <v>2129</v>
      </c>
      <c r="I1844" s="71" t="s">
        <v>1374</v>
      </c>
    </row>
    <row r="1845" spans="1:9" ht="29" x14ac:dyDescent="0.35">
      <c r="A1845">
        <v>12</v>
      </c>
      <c r="B1845">
        <v>210</v>
      </c>
      <c r="C1845" t="s">
        <v>2324</v>
      </c>
      <c r="D1845" s="64">
        <f>VLOOKUP(C1845,'CHAS - Cook Co'!$C$1:$J$2762,2,FALSE) - VLOOKUP(C1845,'CHAS - Chicago'!$C$1:$J$2762,2,FALSE)</f>
        <v>5690</v>
      </c>
      <c r="E1845" t="s">
        <v>373</v>
      </c>
      <c r="F1845" s="71" t="s">
        <v>508</v>
      </c>
      <c r="G1845" s="71" t="s">
        <v>2201</v>
      </c>
      <c r="H1845" s="71" t="s">
        <v>2129</v>
      </c>
      <c r="I1845" s="71" t="s">
        <v>1657</v>
      </c>
    </row>
    <row r="1846" spans="1:9" ht="29" x14ac:dyDescent="0.35">
      <c r="A1846">
        <v>12</v>
      </c>
      <c r="B1846">
        <v>211</v>
      </c>
      <c r="C1846" t="s">
        <v>2325</v>
      </c>
      <c r="D1846" s="64">
        <f>VLOOKUP(C1846,'CHAS - Cook Co'!$C$1:$J$2762,2,FALSE) - VLOOKUP(C1846,'CHAS - Chicago'!$C$1:$J$2762,2,FALSE)</f>
        <v>85</v>
      </c>
      <c r="E1846" t="s">
        <v>373</v>
      </c>
      <c r="F1846" s="71" t="s">
        <v>508</v>
      </c>
      <c r="G1846" s="71" t="s">
        <v>2201</v>
      </c>
      <c r="H1846" s="71" t="s">
        <v>2129</v>
      </c>
      <c r="I1846" s="71" t="s">
        <v>1663</v>
      </c>
    </row>
    <row r="1847" spans="1:9" ht="29" x14ac:dyDescent="0.35">
      <c r="A1847">
        <v>12</v>
      </c>
      <c r="B1847">
        <v>212</v>
      </c>
      <c r="C1847" t="s">
        <v>2326</v>
      </c>
      <c r="D1847" s="64">
        <f>VLOOKUP(C1847,'CHAS - Cook Co'!$C$1:$J$2762,2,FALSE) - VLOOKUP(C1847,'CHAS - Chicago'!$C$1:$J$2762,2,FALSE)</f>
        <v>10</v>
      </c>
      <c r="E1847" t="s">
        <v>373</v>
      </c>
      <c r="F1847" s="71" t="s">
        <v>508</v>
      </c>
      <c r="G1847" s="71" t="s">
        <v>2201</v>
      </c>
      <c r="H1847" s="71" t="s">
        <v>2129</v>
      </c>
      <c r="I1847" s="71" t="s">
        <v>1667</v>
      </c>
    </row>
    <row r="1848" spans="1:9" ht="29" x14ac:dyDescent="0.35">
      <c r="A1848">
        <v>12</v>
      </c>
      <c r="B1848">
        <v>213</v>
      </c>
      <c r="C1848" t="s">
        <v>2327</v>
      </c>
      <c r="D1848" s="64">
        <f>VLOOKUP(C1848,'CHAS - Cook Co'!$C$1:$J$2762,2,FALSE) - VLOOKUP(C1848,'CHAS - Chicago'!$C$1:$J$2762,2,FALSE)</f>
        <v>0</v>
      </c>
      <c r="E1848" t="s">
        <v>373</v>
      </c>
      <c r="F1848" s="71" t="s">
        <v>508</v>
      </c>
      <c r="G1848" s="71" t="s">
        <v>2201</v>
      </c>
      <c r="H1848" s="71" t="s">
        <v>2129</v>
      </c>
      <c r="I1848" s="71" t="s">
        <v>1671</v>
      </c>
    </row>
    <row r="1849" spans="1:9" ht="29" x14ac:dyDescent="0.35">
      <c r="A1849">
        <v>13</v>
      </c>
      <c r="B1849">
        <v>1</v>
      </c>
      <c r="C1849" t="s">
        <v>2328</v>
      </c>
      <c r="D1849" s="64">
        <f>VLOOKUP(C1849,'CHAS - Cook Co'!$C$1:$J$2762,2,FALSE) - VLOOKUP(C1849,'CHAS - Chicago'!$C$1:$J$2762,2,FALSE)</f>
        <v>909025</v>
      </c>
      <c r="E1849" t="s">
        <v>26</v>
      </c>
      <c r="F1849" s="71" t="s">
        <v>361</v>
      </c>
      <c r="G1849" s="71" t="s">
        <v>2329</v>
      </c>
      <c r="H1849" s="71" t="s">
        <v>2330</v>
      </c>
      <c r="I1849" s="71" t="s">
        <v>2331</v>
      </c>
    </row>
    <row r="1850" spans="1:9" x14ac:dyDescent="0.35">
      <c r="A1850">
        <v>13</v>
      </c>
      <c r="B1850">
        <v>2</v>
      </c>
      <c r="C1850" t="s">
        <v>2332</v>
      </c>
      <c r="D1850" s="64">
        <f>VLOOKUP(C1850,'CHAS - Cook Co'!$C$1:$J$2762,2,FALSE) - VLOOKUP(C1850,'CHAS - Chicago'!$C$1:$J$2762,2,FALSE)</f>
        <v>645280</v>
      </c>
      <c r="E1850" t="s">
        <v>366</v>
      </c>
      <c r="F1850" s="71" t="s">
        <v>367</v>
      </c>
      <c r="G1850" s="71" t="s">
        <v>2329</v>
      </c>
      <c r="H1850" s="71" t="s">
        <v>2330</v>
      </c>
      <c r="I1850" s="71" t="s">
        <v>2331</v>
      </c>
    </row>
    <row r="1851" spans="1:9" ht="29" x14ac:dyDescent="0.35">
      <c r="A1851">
        <v>13</v>
      </c>
      <c r="B1851">
        <v>3</v>
      </c>
      <c r="C1851" t="s">
        <v>2333</v>
      </c>
      <c r="D1851" s="64">
        <f>VLOOKUP(C1851,'CHAS - Cook Co'!$C$1:$J$2762,2,FALSE) - VLOOKUP(C1851,'CHAS - Chicago'!$C$1:$J$2762,2,FALSE)</f>
        <v>170235</v>
      </c>
      <c r="E1851" t="s">
        <v>366</v>
      </c>
      <c r="F1851" s="71" t="s">
        <v>367</v>
      </c>
      <c r="G1851" s="71" t="s">
        <v>2334</v>
      </c>
      <c r="H1851" s="71" t="s">
        <v>2330</v>
      </c>
      <c r="I1851" s="71" t="s">
        <v>2331</v>
      </c>
    </row>
    <row r="1852" spans="1:9" ht="43.5" x14ac:dyDescent="0.35">
      <c r="A1852">
        <v>13</v>
      </c>
      <c r="B1852">
        <v>4</v>
      </c>
      <c r="C1852" t="s">
        <v>2335</v>
      </c>
      <c r="D1852" s="64">
        <f>VLOOKUP(C1852,'CHAS - Cook Co'!$C$1:$J$2762,2,FALSE) - VLOOKUP(C1852,'CHAS - Chicago'!$C$1:$J$2762,2,FALSE)</f>
        <v>12400</v>
      </c>
      <c r="E1852" t="s">
        <v>366</v>
      </c>
      <c r="F1852" s="71" t="s">
        <v>367</v>
      </c>
      <c r="G1852" s="71" t="s">
        <v>2334</v>
      </c>
      <c r="H1852" s="71" t="s">
        <v>2336</v>
      </c>
      <c r="I1852" s="71" t="s">
        <v>2331</v>
      </c>
    </row>
    <row r="1853" spans="1:9" ht="43.5" x14ac:dyDescent="0.35">
      <c r="A1853">
        <v>13</v>
      </c>
      <c r="B1853">
        <v>5</v>
      </c>
      <c r="C1853" t="s">
        <v>2337</v>
      </c>
      <c r="D1853" s="64">
        <f>VLOOKUP(C1853,'CHAS - Cook Co'!$C$1:$J$2762,2,FALSE) - VLOOKUP(C1853,'CHAS - Chicago'!$C$1:$J$2762,2,FALSE)</f>
        <v>1020</v>
      </c>
      <c r="E1853" t="s">
        <v>373</v>
      </c>
      <c r="F1853" s="71" t="s">
        <v>367</v>
      </c>
      <c r="G1853" s="71" t="s">
        <v>2334</v>
      </c>
      <c r="H1853" s="71" t="s">
        <v>2336</v>
      </c>
      <c r="I1853" s="71" t="s">
        <v>2338</v>
      </c>
    </row>
    <row r="1854" spans="1:9" ht="43.5" x14ac:dyDescent="0.35">
      <c r="A1854">
        <v>13</v>
      </c>
      <c r="B1854">
        <v>6</v>
      </c>
      <c r="C1854" t="s">
        <v>2339</v>
      </c>
      <c r="D1854" s="64">
        <f>VLOOKUP(C1854,'CHAS - Cook Co'!$C$1:$J$2762,2,FALSE) - VLOOKUP(C1854,'CHAS - Chicago'!$C$1:$J$2762,2,FALSE)</f>
        <v>11385</v>
      </c>
      <c r="E1854" t="s">
        <v>373</v>
      </c>
      <c r="F1854" s="71" t="s">
        <v>367</v>
      </c>
      <c r="G1854" s="71" t="s">
        <v>2334</v>
      </c>
      <c r="H1854" s="71" t="s">
        <v>2336</v>
      </c>
      <c r="I1854" s="71" t="s">
        <v>2340</v>
      </c>
    </row>
    <row r="1855" spans="1:9" ht="43.5" x14ac:dyDescent="0.35">
      <c r="A1855">
        <v>13</v>
      </c>
      <c r="B1855">
        <v>7</v>
      </c>
      <c r="C1855" t="s">
        <v>2341</v>
      </c>
      <c r="D1855" s="64">
        <f>VLOOKUP(C1855,'CHAS - Cook Co'!$C$1:$J$2762,2,FALSE) - VLOOKUP(C1855,'CHAS - Chicago'!$C$1:$J$2762,2,FALSE)</f>
        <v>15115</v>
      </c>
      <c r="E1855" t="s">
        <v>366</v>
      </c>
      <c r="F1855" s="71" t="s">
        <v>367</v>
      </c>
      <c r="G1855" s="71" t="s">
        <v>2334</v>
      </c>
      <c r="H1855" s="71" t="s">
        <v>2342</v>
      </c>
      <c r="I1855" s="71" t="s">
        <v>2331</v>
      </c>
    </row>
    <row r="1856" spans="1:9" ht="43.5" x14ac:dyDescent="0.35">
      <c r="A1856">
        <v>13</v>
      </c>
      <c r="B1856">
        <v>8</v>
      </c>
      <c r="C1856" t="s">
        <v>2343</v>
      </c>
      <c r="D1856" s="64">
        <f>VLOOKUP(C1856,'CHAS - Cook Co'!$C$1:$J$2762,2,FALSE) - VLOOKUP(C1856,'CHAS - Chicago'!$C$1:$J$2762,2,FALSE)</f>
        <v>1325</v>
      </c>
      <c r="E1856" t="s">
        <v>373</v>
      </c>
      <c r="F1856" s="71" t="s">
        <v>367</v>
      </c>
      <c r="G1856" s="71" t="s">
        <v>2334</v>
      </c>
      <c r="H1856" s="71" t="s">
        <v>2342</v>
      </c>
      <c r="I1856" s="71" t="s">
        <v>2338</v>
      </c>
    </row>
    <row r="1857" spans="1:9" ht="43.5" x14ac:dyDescent="0.35">
      <c r="A1857">
        <v>13</v>
      </c>
      <c r="B1857">
        <v>9</v>
      </c>
      <c r="C1857" t="s">
        <v>2344</v>
      </c>
      <c r="D1857" s="64">
        <f>VLOOKUP(C1857,'CHAS - Cook Co'!$C$1:$J$2762,2,FALSE) - VLOOKUP(C1857,'CHAS - Chicago'!$C$1:$J$2762,2,FALSE)</f>
        <v>13785</v>
      </c>
      <c r="E1857" t="s">
        <v>373</v>
      </c>
      <c r="F1857" s="71" t="s">
        <v>367</v>
      </c>
      <c r="G1857" s="71" t="s">
        <v>2334</v>
      </c>
      <c r="H1857" s="71" t="s">
        <v>2342</v>
      </c>
      <c r="I1857" s="71" t="s">
        <v>2340</v>
      </c>
    </row>
    <row r="1858" spans="1:9" ht="43.5" x14ac:dyDescent="0.35">
      <c r="A1858">
        <v>13</v>
      </c>
      <c r="B1858">
        <v>10</v>
      </c>
      <c r="C1858" t="s">
        <v>2345</v>
      </c>
      <c r="D1858" s="64">
        <f>VLOOKUP(C1858,'CHAS - Cook Co'!$C$1:$J$2762,2,FALSE) - VLOOKUP(C1858,'CHAS - Chicago'!$C$1:$J$2762,2,FALSE)</f>
        <v>23185</v>
      </c>
      <c r="E1858" t="s">
        <v>366</v>
      </c>
      <c r="F1858" s="71" t="s">
        <v>367</v>
      </c>
      <c r="G1858" s="71" t="s">
        <v>2334</v>
      </c>
      <c r="H1858" s="71" t="s">
        <v>2346</v>
      </c>
      <c r="I1858" s="71" t="s">
        <v>2331</v>
      </c>
    </row>
    <row r="1859" spans="1:9" ht="43.5" x14ac:dyDescent="0.35">
      <c r="A1859">
        <v>13</v>
      </c>
      <c r="B1859">
        <v>11</v>
      </c>
      <c r="C1859" t="s">
        <v>2347</v>
      </c>
      <c r="D1859" s="64">
        <f>VLOOKUP(C1859,'CHAS - Cook Co'!$C$1:$J$2762,2,FALSE) - VLOOKUP(C1859,'CHAS - Chicago'!$C$1:$J$2762,2,FALSE)</f>
        <v>2520</v>
      </c>
      <c r="E1859" t="s">
        <v>373</v>
      </c>
      <c r="F1859" s="71" t="s">
        <v>367</v>
      </c>
      <c r="G1859" s="71" t="s">
        <v>2334</v>
      </c>
      <c r="H1859" s="71" t="s">
        <v>2346</v>
      </c>
      <c r="I1859" s="71" t="s">
        <v>2338</v>
      </c>
    </row>
    <row r="1860" spans="1:9" ht="43.5" x14ac:dyDescent="0.35">
      <c r="A1860">
        <v>13</v>
      </c>
      <c r="B1860">
        <v>12</v>
      </c>
      <c r="C1860" t="s">
        <v>2348</v>
      </c>
      <c r="D1860" s="64">
        <f>VLOOKUP(C1860,'CHAS - Cook Co'!$C$1:$J$2762,2,FALSE) - VLOOKUP(C1860,'CHAS - Chicago'!$C$1:$J$2762,2,FALSE)</f>
        <v>20665</v>
      </c>
      <c r="E1860" t="s">
        <v>373</v>
      </c>
      <c r="F1860" s="71" t="s">
        <v>367</v>
      </c>
      <c r="G1860" s="71" t="s">
        <v>2334</v>
      </c>
      <c r="H1860" s="71" t="s">
        <v>2346</v>
      </c>
      <c r="I1860" s="71" t="s">
        <v>2340</v>
      </c>
    </row>
    <row r="1861" spans="1:9" ht="43.5" x14ac:dyDescent="0.35">
      <c r="A1861">
        <v>13</v>
      </c>
      <c r="B1861">
        <v>13</v>
      </c>
      <c r="C1861" t="s">
        <v>2349</v>
      </c>
      <c r="D1861" s="64">
        <f>VLOOKUP(C1861,'CHAS - Cook Co'!$C$1:$J$2762,2,FALSE) - VLOOKUP(C1861,'CHAS - Chicago'!$C$1:$J$2762,2,FALSE)</f>
        <v>15255</v>
      </c>
      <c r="E1861" t="s">
        <v>366</v>
      </c>
      <c r="F1861" s="71" t="s">
        <v>367</v>
      </c>
      <c r="G1861" s="71" t="s">
        <v>2334</v>
      </c>
      <c r="H1861" s="71" t="s">
        <v>2350</v>
      </c>
      <c r="I1861" s="71" t="s">
        <v>2331</v>
      </c>
    </row>
    <row r="1862" spans="1:9" ht="43.5" x14ac:dyDescent="0.35">
      <c r="A1862">
        <v>13</v>
      </c>
      <c r="B1862">
        <v>14</v>
      </c>
      <c r="C1862" t="s">
        <v>2351</v>
      </c>
      <c r="D1862" s="64">
        <f>VLOOKUP(C1862,'CHAS - Cook Co'!$C$1:$J$2762,2,FALSE) - VLOOKUP(C1862,'CHAS - Chicago'!$C$1:$J$2762,2,FALSE)</f>
        <v>2005</v>
      </c>
      <c r="E1862" t="s">
        <v>373</v>
      </c>
      <c r="F1862" s="71" t="s">
        <v>367</v>
      </c>
      <c r="G1862" s="71" t="s">
        <v>2334</v>
      </c>
      <c r="H1862" s="71" t="s">
        <v>2350</v>
      </c>
      <c r="I1862" s="71" t="s">
        <v>2338</v>
      </c>
    </row>
    <row r="1863" spans="1:9" ht="43.5" x14ac:dyDescent="0.35">
      <c r="A1863">
        <v>13</v>
      </c>
      <c r="B1863">
        <v>15</v>
      </c>
      <c r="C1863" t="s">
        <v>2352</v>
      </c>
      <c r="D1863" s="64">
        <f>VLOOKUP(C1863,'CHAS - Cook Co'!$C$1:$J$2762,2,FALSE) - VLOOKUP(C1863,'CHAS - Chicago'!$C$1:$J$2762,2,FALSE)</f>
        <v>13250</v>
      </c>
      <c r="E1863" t="s">
        <v>373</v>
      </c>
      <c r="F1863" s="71" t="s">
        <v>367</v>
      </c>
      <c r="G1863" s="71" t="s">
        <v>2334</v>
      </c>
      <c r="H1863" s="71" t="s">
        <v>2350</v>
      </c>
      <c r="I1863" s="71" t="s">
        <v>2340</v>
      </c>
    </row>
    <row r="1864" spans="1:9" ht="43.5" x14ac:dyDescent="0.35">
      <c r="A1864">
        <v>13</v>
      </c>
      <c r="B1864">
        <v>16</v>
      </c>
      <c r="C1864" t="s">
        <v>2353</v>
      </c>
      <c r="D1864" s="64">
        <f>VLOOKUP(C1864,'CHAS - Cook Co'!$C$1:$J$2762,2,FALSE) - VLOOKUP(C1864,'CHAS - Chicago'!$C$1:$J$2762,2,FALSE)</f>
        <v>104285</v>
      </c>
      <c r="E1864" t="s">
        <v>366</v>
      </c>
      <c r="F1864" s="71" t="s">
        <v>367</v>
      </c>
      <c r="G1864" s="71" t="s">
        <v>2334</v>
      </c>
      <c r="H1864" s="71" t="s">
        <v>2354</v>
      </c>
      <c r="I1864" s="71" t="s">
        <v>2331</v>
      </c>
    </row>
    <row r="1865" spans="1:9" ht="43.5" x14ac:dyDescent="0.35">
      <c r="A1865">
        <v>13</v>
      </c>
      <c r="B1865">
        <v>17</v>
      </c>
      <c r="C1865" t="s">
        <v>2355</v>
      </c>
      <c r="D1865" s="64">
        <f>VLOOKUP(C1865,'CHAS - Cook Co'!$C$1:$J$2762,2,FALSE) - VLOOKUP(C1865,'CHAS - Chicago'!$C$1:$J$2762,2,FALSE)</f>
        <v>15435</v>
      </c>
      <c r="E1865" t="s">
        <v>373</v>
      </c>
      <c r="F1865" s="71" t="s">
        <v>367</v>
      </c>
      <c r="G1865" s="71" t="s">
        <v>2334</v>
      </c>
      <c r="H1865" s="71" t="s">
        <v>2354</v>
      </c>
      <c r="I1865" s="71" t="s">
        <v>2338</v>
      </c>
    </row>
    <row r="1866" spans="1:9" ht="43.5" x14ac:dyDescent="0.35">
      <c r="A1866">
        <v>13</v>
      </c>
      <c r="B1866">
        <v>18</v>
      </c>
      <c r="C1866" t="s">
        <v>2356</v>
      </c>
      <c r="D1866" s="64">
        <f>VLOOKUP(C1866,'CHAS - Cook Co'!$C$1:$J$2762,2,FALSE) - VLOOKUP(C1866,'CHAS - Chicago'!$C$1:$J$2762,2,FALSE)</f>
        <v>88850</v>
      </c>
      <c r="E1866" t="s">
        <v>373</v>
      </c>
      <c r="F1866" s="71" t="s">
        <v>367</v>
      </c>
      <c r="G1866" s="71" t="s">
        <v>2334</v>
      </c>
      <c r="H1866" s="71" t="s">
        <v>2354</v>
      </c>
      <c r="I1866" s="71" t="s">
        <v>2340</v>
      </c>
    </row>
    <row r="1867" spans="1:9" ht="43.5" x14ac:dyDescent="0.35">
      <c r="A1867">
        <v>13</v>
      </c>
      <c r="B1867">
        <v>19</v>
      </c>
      <c r="C1867" t="s">
        <v>2357</v>
      </c>
      <c r="D1867" s="64">
        <f>VLOOKUP(C1867,'CHAS - Cook Co'!$C$1:$J$2762,2,FALSE) - VLOOKUP(C1867,'CHAS - Chicago'!$C$1:$J$2762,2,FALSE)</f>
        <v>393300</v>
      </c>
      <c r="E1867" t="s">
        <v>366</v>
      </c>
      <c r="F1867" s="71" t="s">
        <v>367</v>
      </c>
      <c r="G1867" s="71" t="s">
        <v>2358</v>
      </c>
      <c r="H1867" s="71" t="s">
        <v>2330</v>
      </c>
      <c r="I1867" s="71" t="s">
        <v>2331</v>
      </c>
    </row>
    <row r="1868" spans="1:9" ht="43.5" x14ac:dyDescent="0.35">
      <c r="A1868">
        <v>13</v>
      </c>
      <c r="B1868">
        <v>20</v>
      </c>
      <c r="C1868" t="s">
        <v>2359</v>
      </c>
      <c r="D1868" s="64">
        <f>VLOOKUP(C1868,'CHAS - Cook Co'!$C$1:$J$2762,2,FALSE) - VLOOKUP(C1868,'CHAS - Chicago'!$C$1:$J$2762,2,FALSE)</f>
        <v>36060</v>
      </c>
      <c r="E1868" t="s">
        <v>366</v>
      </c>
      <c r="F1868" s="71" t="s">
        <v>367</v>
      </c>
      <c r="G1868" s="71" t="s">
        <v>2358</v>
      </c>
      <c r="H1868" s="71" t="s">
        <v>2336</v>
      </c>
      <c r="I1868" s="71" t="s">
        <v>2331</v>
      </c>
    </row>
    <row r="1869" spans="1:9" ht="43.5" x14ac:dyDescent="0.35">
      <c r="A1869">
        <v>13</v>
      </c>
      <c r="B1869">
        <v>21</v>
      </c>
      <c r="C1869" t="s">
        <v>2360</v>
      </c>
      <c r="D1869" s="64">
        <f>VLOOKUP(C1869,'CHAS - Cook Co'!$C$1:$J$2762,2,FALSE) - VLOOKUP(C1869,'CHAS - Chicago'!$C$1:$J$2762,2,FALSE)</f>
        <v>3115</v>
      </c>
      <c r="E1869" t="s">
        <v>373</v>
      </c>
      <c r="F1869" s="71" t="s">
        <v>367</v>
      </c>
      <c r="G1869" s="71" t="s">
        <v>2358</v>
      </c>
      <c r="H1869" s="71" t="s">
        <v>2336</v>
      </c>
      <c r="I1869" s="71" t="s">
        <v>2338</v>
      </c>
    </row>
    <row r="1870" spans="1:9" ht="43.5" x14ac:dyDescent="0.35">
      <c r="A1870">
        <v>13</v>
      </c>
      <c r="B1870">
        <v>22</v>
      </c>
      <c r="C1870" t="s">
        <v>2361</v>
      </c>
      <c r="D1870" s="64">
        <f>VLOOKUP(C1870,'CHAS - Cook Co'!$C$1:$J$2762,2,FALSE) - VLOOKUP(C1870,'CHAS - Chicago'!$C$1:$J$2762,2,FALSE)</f>
        <v>32945</v>
      </c>
      <c r="E1870" t="s">
        <v>373</v>
      </c>
      <c r="F1870" s="71" t="s">
        <v>367</v>
      </c>
      <c r="G1870" s="71" t="s">
        <v>2358</v>
      </c>
      <c r="H1870" s="71" t="s">
        <v>2336</v>
      </c>
      <c r="I1870" s="71" t="s">
        <v>2340</v>
      </c>
    </row>
    <row r="1871" spans="1:9" ht="43.5" x14ac:dyDescent="0.35">
      <c r="A1871">
        <v>13</v>
      </c>
      <c r="B1871">
        <v>23</v>
      </c>
      <c r="C1871" t="s">
        <v>2362</v>
      </c>
      <c r="D1871" s="64">
        <f>VLOOKUP(C1871,'CHAS - Cook Co'!$C$1:$J$2762,2,FALSE) - VLOOKUP(C1871,'CHAS - Chicago'!$C$1:$J$2762,2,FALSE)</f>
        <v>43870</v>
      </c>
      <c r="E1871" t="s">
        <v>366</v>
      </c>
      <c r="F1871" s="71" t="s">
        <v>367</v>
      </c>
      <c r="G1871" s="71" t="s">
        <v>2358</v>
      </c>
      <c r="H1871" s="71" t="s">
        <v>2342</v>
      </c>
      <c r="I1871" s="71" t="s">
        <v>2331</v>
      </c>
    </row>
    <row r="1872" spans="1:9" ht="43.5" x14ac:dyDescent="0.35">
      <c r="A1872">
        <v>13</v>
      </c>
      <c r="B1872">
        <v>24</v>
      </c>
      <c r="C1872" t="s">
        <v>2363</v>
      </c>
      <c r="D1872" s="64">
        <f>VLOOKUP(C1872,'CHAS - Cook Co'!$C$1:$J$2762,2,FALSE) - VLOOKUP(C1872,'CHAS - Chicago'!$C$1:$J$2762,2,FALSE)</f>
        <v>5550</v>
      </c>
      <c r="E1872" t="s">
        <v>373</v>
      </c>
      <c r="F1872" s="71" t="s">
        <v>367</v>
      </c>
      <c r="G1872" s="71" t="s">
        <v>2358</v>
      </c>
      <c r="H1872" s="71" t="s">
        <v>2342</v>
      </c>
      <c r="I1872" s="71" t="s">
        <v>2338</v>
      </c>
    </row>
    <row r="1873" spans="1:9" ht="43.5" x14ac:dyDescent="0.35">
      <c r="A1873">
        <v>13</v>
      </c>
      <c r="B1873">
        <v>25</v>
      </c>
      <c r="C1873" t="s">
        <v>2364</v>
      </c>
      <c r="D1873" s="64">
        <f>VLOOKUP(C1873,'CHAS - Cook Co'!$C$1:$J$2762,2,FALSE) - VLOOKUP(C1873,'CHAS - Chicago'!$C$1:$J$2762,2,FALSE)</f>
        <v>38320</v>
      </c>
      <c r="E1873" t="s">
        <v>373</v>
      </c>
      <c r="F1873" s="71" t="s">
        <v>367</v>
      </c>
      <c r="G1873" s="71" t="s">
        <v>2358</v>
      </c>
      <c r="H1873" s="71" t="s">
        <v>2342</v>
      </c>
      <c r="I1873" s="71" t="s">
        <v>2340</v>
      </c>
    </row>
    <row r="1874" spans="1:9" ht="43.5" x14ac:dyDescent="0.35">
      <c r="A1874">
        <v>13</v>
      </c>
      <c r="B1874">
        <v>26</v>
      </c>
      <c r="C1874" t="s">
        <v>2365</v>
      </c>
      <c r="D1874" s="64">
        <f>VLOOKUP(C1874,'CHAS - Cook Co'!$C$1:$J$2762,2,FALSE) - VLOOKUP(C1874,'CHAS - Chicago'!$C$1:$J$2762,2,FALSE)</f>
        <v>68275</v>
      </c>
      <c r="E1874" t="s">
        <v>366</v>
      </c>
      <c r="F1874" s="71" t="s">
        <v>367</v>
      </c>
      <c r="G1874" s="71" t="s">
        <v>2358</v>
      </c>
      <c r="H1874" s="71" t="s">
        <v>2346</v>
      </c>
      <c r="I1874" s="71" t="s">
        <v>2331</v>
      </c>
    </row>
    <row r="1875" spans="1:9" ht="43.5" x14ac:dyDescent="0.35">
      <c r="A1875">
        <v>13</v>
      </c>
      <c r="B1875">
        <v>27</v>
      </c>
      <c r="C1875" t="s">
        <v>2366</v>
      </c>
      <c r="D1875" s="64">
        <f>VLOOKUP(C1875,'CHAS - Cook Co'!$C$1:$J$2762,2,FALSE) - VLOOKUP(C1875,'CHAS - Chicago'!$C$1:$J$2762,2,FALSE)</f>
        <v>8805</v>
      </c>
      <c r="E1875" t="s">
        <v>373</v>
      </c>
      <c r="F1875" s="71" t="s">
        <v>367</v>
      </c>
      <c r="G1875" s="71" t="s">
        <v>2358</v>
      </c>
      <c r="H1875" s="71" t="s">
        <v>2346</v>
      </c>
      <c r="I1875" s="71" t="s">
        <v>2338</v>
      </c>
    </row>
    <row r="1876" spans="1:9" ht="43.5" x14ac:dyDescent="0.35">
      <c r="A1876">
        <v>13</v>
      </c>
      <c r="B1876">
        <v>28</v>
      </c>
      <c r="C1876" t="s">
        <v>2367</v>
      </c>
      <c r="D1876" s="64">
        <f>VLOOKUP(C1876,'CHAS - Cook Co'!$C$1:$J$2762,2,FALSE) - VLOOKUP(C1876,'CHAS - Chicago'!$C$1:$J$2762,2,FALSE)</f>
        <v>59465</v>
      </c>
      <c r="E1876" t="s">
        <v>373</v>
      </c>
      <c r="F1876" s="71" t="s">
        <v>367</v>
      </c>
      <c r="G1876" s="71" t="s">
        <v>2358</v>
      </c>
      <c r="H1876" s="71" t="s">
        <v>2346</v>
      </c>
      <c r="I1876" s="71" t="s">
        <v>2340</v>
      </c>
    </row>
    <row r="1877" spans="1:9" ht="43.5" x14ac:dyDescent="0.35">
      <c r="A1877">
        <v>13</v>
      </c>
      <c r="B1877">
        <v>29</v>
      </c>
      <c r="C1877" t="s">
        <v>2368</v>
      </c>
      <c r="D1877" s="64">
        <f>VLOOKUP(C1877,'CHAS - Cook Co'!$C$1:$J$2762,2,FALSE) - VLOOKUP(C1877,'CHAS - Chicago'!$C$1:$J$2762,2,FALSE)</f>
        <v>45410</v>
      </c>
      <c r="E1877" t="s">
        <v>366</v>
      </c>
      <c r="F1877" s="71" t="s">
        <v>367</v>
      </c>
      <c r="G1877" s="71" t="s">
        <v>2358</v>
      </c>
      <c r="H1877" s="71" t="s">
        <v>2350</v>
      </c>
      <c r="I1877" s="71" t="s">
        <v>2331</v>
      </c>
    </row>
    <row r="1878" spans="1:9" ht="43.5" x14ac:dyDescent="0.35">
      <c r="A1878">
        <v>13</v>
      </c>
      <c r="B1878">
        <v>30</v>
      </c>
      <c r="C1878" t="s">
        <v>2369</v>
      </c>
      <c r="D1878" s="64">
        <f>VLOOKUP(C1878,'CHAS - Cook Co'!$C$1:$J$2762,2,FALSE) - VLOOKUP(C1878,'CHAS - Chicago'!$C$1:$J$2762,2,FALSE)</f>
        <v>6240</v>
      </c>
      <c r="E1878" t="s">
        <v>373</v>
      </c>
      <c r="F1878" s="71" t="s">
        <v>367</v>
      </c>
      <c r="G1878" s="71" t="s">
        <v>2358</v>
      </c>
      <c r="H1878" s="71" t="s">
        <v>2350</v>
      </c>
      <c r="I1878" s="71" t="s">
        <v>2338</v>
      </c>
    </row>
    <row r="1879" spans="1:9" ht="43.5" x14ac:dyDescent="0.35">
      <c r="A1879">
        <v>13</v>
      </c>
      <c r="B1879">
        <v>31</v>
      </c>
      <c r="C1879" t="s">
        <v>2370</v>
      </c>
      <c r="D1879" s="64">
        <f>VLOOKUP(C1879,'CHAS - Cook Co'!$C$1:$J$2762,2,FALSE) - VLOOKUP(C1879,'CHAS - Chicago'!$C$1:$J$2762,2,FALSE)</f>
        <v>39170</v>
      </c>
      <c r="E1879" t="s">
        <v>373</v>
      </c>
      <c r="F1879" s="71" t="s">
        <v>367</v>
      </c>
      <c r="G1879" s="71" t="s">
        <v>2358</v>
      </c>
      <c r="H1879" s="71" t="s">
        <v>2350</v>
      </c>
      <c r="I1879" s="71" t="s">
        <v>2340</v>
      </c>
    </row>
    <row r="1880" spans="1:9" ht="43.5" x14ac:dyDescent="0.35">
      <c r="A1880">
        <v>13</v>
      </c>
      <c r="B1880">
        <v>32</v>
      </c>
      <c r="C1880" t="s">
        <v>2371</v>
      </c>
      <c r="D1880" s="64">
        <f>VLOOKUP(C1880,'CHAS - Cook Co'!$C$1:$J$2762,2,FALSE) - VLOOKUP(C1880,'CHAS - Chicago'!$C$1:$J$2762,2,FALSE)</f>
        <v>199695</v>
      </c>
      <c r="E1880" t="s">
        <v>366</v>
      </c>
      <c r="F1880" s="71" t="s">
        <v>367</v>
      </c>
      <c r="G1880" s="71" t="s">
        <v>2358</v>
      </c>
      <c r="H1880" s="71" t="s">
        <v>2354</v>
      </c>
      <c r="I1880" s="71" t="s">
        <v>2331</v>
      </c>
    </row>
    <row r="1881" spans="1:9" ht="43.5" x14ac:dyDescent="0.35">
      <c r="A1881">
        <v>13</v>
      </c>
      <c r="B1881">
        <v>33</v>
      </c>
      <c r="C1881" t="s">
        <v>2372</v>
      </c>
      <c r="D1881" s="64">
        <f>VLOOKUP(C1881,'CHAS - Cook Co'!$C$1:$J$2762,2,FALSE) - VLOOKUP(C1881,'CHAS - Chicago'!$C$1:$J$2762,2,FALSE)</f>
        <v>27080</v>
      </c>
      <c r="E1881" t="s">
        <v>373</v>
      </c>
      <c r="F1881" s="71" t="s">
        <v>367</v>
      </c>
      <c r="G1881" s="71" t="s">
        <v>2358</v>
      </c>
      <c r="H1881" s="71" t="s">
        <v>2354</v>
      </c>
      <c r="I1881" s="71" t="s">
        <v>2338</v>
      </c>
    </row>
    <row r="1882" spans="1:9" ht="43.5" x14ac:dyDescent="0.35">
      <c r="A1882">
        <v>13</v>
      </c>
      <c r="B1882">
        <v>34</v>
      </c>
      <c r="C1882" t="s">
        <v>2373</v>
      </c>
      <c r="D1882" s="64">
        <f>VLOOKUP(C1882,'CHAS - Cook Co'!$C$1:$J$2762,2,FALSE) - VLOOKUP(C1882,'CHAS - Chicago'!$C$1:$J$2762,2,FALSE)</f>
        <v>172620</v>
      </c>
      <c r="E1882" t="s">
        <v>373</v>
      </c>
      <c r="F1882" s="71" t="s">
        <v>367</v>
      </c>
      <c r="G1882" s="71" t="s">
        <v>2358</v>
      </c>
      <c r="H1882" s="71" t="s">
        <v>2354</v>
      </c>
      <c r="I1882" s="71" t="s">
        <v>2340</v>
      </c>
    </row>
    <row r="1883" spans="1:9" ht="29" x14ac:dyDescent="0.35">
      <c r="A1883">
        <v>13</v>
      </c>
      <c r="B1883">
        <v>35</v>
      </c>
      <c r="C1883" t="s">
        <v>2374</v>
      </c>
      <c r="D1883" s="64">
        <f>VLOOKUP(C1883,'CHAS - Cook Co'!$C$1:$J$2762,2,FALSE) - VLOOKUP(C1883,'CHAS - Chicago'!$C$1:$J$2762,2,FALSE)</f>
        <v>81740</v>
      </c>
      <c r="E1883" t="s">
        <v>366</v>
      </c>
      <c r="F1883" s="71" t="s">
        <v>367</v>
      </c>
      <c r="G1883" s="71" t="s">
        <v>2375</v>
      </c>
      <c r="H1883" s="71" t="s">
        <v>2330</v>
      </c>
      <c r="I1883" s="71" t="s">
        <v>2331</v>
      </c>
    </row>
    <row r="1884" spans="1:9" ht="43.5" x14ac:dyDescent="0.35">
      <c r="A1884">
        <v>13</v>
      </c>
      <c r="B1884">
        <v>36</v>
      </c>
      <c r="C1884" t="s">
        <v>2376</v>
      </c>
      <c r="D1884" s="64">
        <f>VLOOKUP(C1884,'CHAS - Cook Co'!$C$1:$J$2762,2,FALSE) - VLOOKUP(C1884,'CHAS - Chicago'!$C$1:$J$2762,2,FALSE)</f>
        <v>6780</v>
      </c>
      <c r="E1884" t="s">
        <v>366</v>
      </c>
      <c r="F1884" s="71" t="s">
        <v>367</v>
      </c>
      <c r="G1884" s="71" t="s">
        <v>2375</v>
      </c>
      <c r="H1884" s="71" t="s">
        <v>2336</v>
      </c>
      <c r="I1884" s="71" t="s">
        <v>2331</v>
      </c>
    </row>
    <row r="1885" spans="1:9" ht="43.5" x14ac:dyDescent="0.35">
      <c r="A1885">
        <v>13</v>
      </c>
      <c r="B1885">
        <v>37</v>
      </c>
      <c r="C1885" t="s">
        <v>2377</v>
      </c>
      <c r="D1885" s="64">
        <f>VLOOKUP(C1885,'CHAS - Cook Co'!$C$1:$J$2762,2,FALSE) - VLOOKUP(C1885,'CHAS - Chicago'!$C$1:$J$2762,2,FALSE)</f>
        <v>950</v>
      </c>
      <c r="E1885" t="s">
        <v>373</v>
      </c>
      <c r="F1885" s="71" t="s">
        <v>367</v>
      </c>
      <c r="G1885" s="71" t="s">
        <v>2375</v>
      </c>
      <c r="H1885" s="71" t="s">
        <v>2336</v>
      </c>
      <c r="I1885" s="71" t="s">
        <v>2338</v>
      </c>
    </row>
    <row r="1886" spans="1:9" ht="43.5" x14ac:dyDescent="0.35">
      <c r="A1886">
        <v>13</v>
      </c>
      <c r="B1886">
        <v>38</v>
      </c>
      <c r="C1886" t="s">
        <v>2378</v>
      </c>
      <c r="D1886" s="64">
        <f>VLOOKUP(C1886,'CHAS - Cook Co'!$C$1:$J$2762,2,FALSE) - VLOOKUP(C1886,'CHAS - Chicago'!$C$1:$J$2762,2,FALSE)</f>
        <v>5830</v>
      </c>
      <c r="E1886" t="s">
        <v>373</v>
      </c>
      <c r="F1886" s="71" t="s">
        <v>367</v>
      </c>
      <c r="G1886" s="71" t="s">
        <v>2375</v>
      </c>
      <c r="H1886" s="71" t="s">
        <v>2336</v>
      </c>
      <c r="I1886" s="71" t="s">
        <v>2340</v>
      </c>
    </row>
    <row r="1887" spans="1:9" ht="43.5" x14ac:dyDescent="0.35">
      <c r="A1887">
        <v>13</v>
      </c>
      <c r="B1887">
        <v>39</v>
      </c>
      <c r="C1887" t="s">
        <v>2379</v>
      </c>
      <c r="D1887" s="64">
        <f>VLOOKUP(C1887,'CHAS - Cook Co'!$C$1:$J$2762,2,FALSE) - VLOOKUP(C1887,'CHAS - Chicago'!$C$1:$J$2762,2,FALSE)</f>
        <v>7350</v>
      </c>
      <c r="E1887" t="s">
        <v>366</v>
      </c>
      <c r="F1887" s="71" t="s">
        <v>367</v>
      </c>
      <c r="G1887" s="71" t="s">
        <v>2375</v>
      </c>
      <c r="H1887" s="71" t="s">
        <v>2342</v>
      </c>
      <c r="I1887" s="71" t="s">
        <v>2331</v>
      </c>
    </row>
    <row r="1888" spans="1:9" ht="43.5" x14ac:dyDescent="0.35">
      <c r="A1888">
        <v>13</v>
      </c>
      <c r="B1888">
        <v>40</v>
      </c>
      <c r="C1888" t="s">
        <v>2380</v>
      </c>
      <c r="D1888" s="64">
        <f>VLOOKUP(C1888,'CHAS - Cook Co'!$C$1:$J$2762,2,FALSE) - VLOOKUP(C1888,'CHAS - Chicago'!$C$1:$J$2762,2,FALSE)</f>
        <v>1175</v>
      </c>
      <c r="E1888" t="s">
        <v>373</v>
      </c>
      <c r="F1888" s="71" t="s">
        <v>367</v>
      </c>
      <c r="G1888" s="71" t="s">
        <v>2375</v>
      </c>
      <c r="H1888" s="71" t="s">
        <v>2342</v>
      </c>
      <c r="I1888" s="71" t="s">
        <v>2338</v>
      </c>
    </row>
    <row r="1889" spans="1:9" ht="43.5" x14ac:dyDescent="0.35">
      <c r="A1889">
        <v>13</v>
      </c>
      <c r="B1889">
        <v>41</v>
      </c>
      <c r="C1889" t="s">
        <v>2381</v>
      </c>
      <c r="D1889" s="64">
        <f>VLOOKUP(C1889,'CHAS - Cook Co'!$C$1:$J$2762,2,FALSE) - VLOOKUP(C1889,'CHAS - Chicago'!$C$1:$J$2762,2,FALSE)</f>
        <v>6180</v>
      </c>
      <c r="E1889" t="s">
        <v>373</v>
      </c>
      <c r="F1889" s="71" t="s">
        <v>367</v>
      </c>
      <c r="G1889" s="71" t="s">
        <v>2375</v>
      </c>
      <c r="H1889" s="71" t="s">
        <v>2342</v>
      </c>
      <c r="I1889" s="71" t="s">
        <v>2340</v>
      </c>
    </row>
    <row r="1890" spans="1:9" ht="43.5" x14ac:dyDescent="0.35">
      <c r="A1890">
        <v>13</v>
      </c>
      <c r="B1890">
        <v>42</v>
      </c>
      <c r="C1890" t="s">
        <v>2382</v>
      </c>
      <c r="D1890" s="64">
        <f>VLOOKUP(C1890,'CHAS - Cook Co'!$C$1:$J$2762,2,FALSE) - VLOOKUP(C1890,'CHAS - Chicago'!$C$1:$J$2762,2,FALSE)</f>
        <v>11440</v>
      </c>
      <c r="E1890" t="s">
        <v>366</v>
      </c>
      <c r="F1890" s="71" t="s">
        <v>367</v>
      </c>
      <c r="G1890" s="71" t="s">
        <v>2375</v>
      </c>
      <c r="H1890" s="71" t="s">
        <v>2346</v>
      </c>
      <c r="I1890" s="71" t="s">
        <v>2331</v>
      </c>
    </row>
    <row r="1891" spans="1:9" ht="43.5" x14ac:dyDescent="0.35">
      <c r="A1891">
        <v>13</v>
      </c>
      <c r="B1891">
        <v>43</v>
      </c>
      <c r="C1891" t="s">
        <v>2383</v>
      </c>
      <c r="D1891" s="64">
        <f>VLOOKUP(C1891,'CHAS - Cook Co'!$C$1:$J$2762,2,FALSE) - VLOOKUP(C1891,'CHAS - Chicago'!$C$1:$J$2762,2,FALSE)</f>
        <v>1970</v>
      </c>
      <c r="E1891" t="s">
        <v>373</v>
      </c>
      <c r="F1891" s="71" t="s">
        <v>367</v>
      </c>
      <c r="G1891" s="71" t="s">
        <v>2375</v>
      </c>
      <c r="H1891" s="71" t="s">
        <v>2346</v>
      </c>
      <c r="I1891" s="71" t="s">
        <v>2338</v>
      </c>
    </row>
    <row r="1892" spans="1:9" ht="43.5" x14ac:dyDescent="0.35">
      <c r="A1892">
        <v>13</v>
      </c>
      <c r="B1892">
        <v>44</v>
      </c>
      <c r="C1892" t="s">
        <v>2384</v>
      </c>
      <c r="D1892" s="64">
        <f>VLOOKUP(C1892,'CHAS - Cook Co'!$C$1:$J$2762,2,FALSE) - VLOOKUP(C1892,'CHAS - Chicago'!$C$1:$J$2762,2,FALSE)</f>
        <v>9465</v>
      </c>
      <c r="E1892" t="s">
        <v>373</v>
      </c>
      <c r="F1892" s="71" t="s">
        <v>367</v>
      </c>
      <c r="G1892" s="71" t="s">
        <v>2375</v>
      </c>
      <c r="H1892" s="71" t="s">
        <v>2346</v>
      </c>
      <c r="I1892" s="71" t="s">
        <v>2340</v>
      </c>
    </row>
    <row r="1893" spans="1:9" ht="43.5" x14ac:dyDescent="0.35">
      <c r="A1893">
        <v>13</v>
      </c>
      <c r="B1893">
        <v>45</v>
      </c>
      <c r="C1893" t="s">
        <v>2385</v>
      </c>
      <c r="D1893" s="64">
        <f>VLOOKUP(C1893,'CHAS - Cook Co'!$C$1:$J$2762,2,FALSE) - VLOOKUP(C1893,'CHAS - Chicago'!$C$1:$J$2762,2,FALSE)</f>
        <v>8545</v>
      </c>
      <c r="E1893" t="s">
        <v>366</v>
      </c>
      <c r="F1893" s="71" t="s">
        <v>367</v>
      </c>
      <c r="G1893" s="71" t="s">
        <v>2375</v>
      </c>
      <c r="H1893" s="71" t="s">
        <v>2350</v>
      </c>
      <c r="I1893" s="71" t="s">
        <v>2331</v>
      </c>
    </row>
    <row r="1894" spans="1:9" ht="43.5" x14ac:dyDescent="0.35">
      <c r="A1894">
        <v>13</v>
      </c>
      <c r="B1894">
        <v>46</v>
      </c>
      <c r="C1894" t="s">
        <v>2386</v>
      </c>
      <c r="D1894" s="64">
        <f>VLOOKUP(C1894,'CHAS - Cook Co'!$C$1:$J$2762,2,FALSE) - VLOOKUP(C1894,'CHAS - Chicago'!$C$1:$J$2762,2,FALSE)</f>
        <v>1385</v>
      </c>
      <c r="E1894" t="s">
        <v>373</v>
      </c>
      <c r="F1894" s="71" t="s">
        <v>367</v>
      </c>
      <c r="G1894" s="71" t="s">
        <v>2375</v>
      </c>
      <c r="H1894" s="71" t="s">
        <v>2350</v>
      </c>
      <c r="I1894" s="71" t="s">
        <v>2338</v>
      </c>
    </row>
    <row r="1895" spans="1:9" ht="43.5" x14ac:dyDescent="0.35">
      <c r="A1895">
        <v>13</v>
      </c>
      <c r="B1895">
        <v>47</v>
      </c>
      <c r="C1895" t="s">
        <v>2387</v>
      </c>
      <c r="D1895" s="64">
        <f>VLOOKUP(C1895,'CHAS - Cook Co'!$C$1:$J$2762,2,FALSE) - VLOOKUP(C1895,'CHAS - Chicago'!$C$1:$J$2762,2,FALSE)</f>
        <v>7170</v>
      </c>
      <c r="E1895" t="s">
        <v>373</v>
      </c>
      <c r="F1895" s="71" t="s">
        <v>367</v>
      </c>
      <c r="G1895" s="71" t="s">
        <v>2375</v>
      </c>
      <c r="H1895" s="71" t="s">
        <v>2350</v>
      </c>
      <c r="I1895" s="71" t="s">
        <v>2340</v>
      </c>
    </row>
    <row r="1896" spans="1:9" ht="43.5" x14ac:dyDescent="0.35">
      <c r="A1896">
        <v>13</v>
      </c>
      <c r="B1896">
        <v>48</v>
      </c>
      <c r="C1896" t="s">
        <v>2388</v>
      </c>
      <c r="D1896" s="64">
        <f>VLOOKUP(C1896,'CHAS - Cook Co'!$C$1:$J$2762,2,FALSE) - VLOOKUP(C1896,'CHAS - Chicago'!$C$1:$J$2762,2,FALSE)</f>
        <v>47620</v>
      </c>
      <c r="E1896" t="s">
        <v>366</v>
      </c>
      <c r="F1896" s="71" t="s">
        <v>367</v>
      </c>
      <c r="G1896" s="71" t="s">
        <v>2375</v>
      </c>
      <c r="H1896" s="71" t="s">
        <v>2354</v>
      </c>
      <c r="I1896" s="71" t="s">
        <v>2331</v>
      </c>
    </row>
    <row r="1897" spans="1:9" ht="43.5" x14ac:dyDescent="0.35">
      <c r="A1897">
        <v>13</v>
      </c>
      <c r="B1897">
        <v>49</v>
      </c>
      <c r="C1897" t="s">
        <v>2389</v>
      </c>
      <c r="D1897" s="64">
        <f>VLOOKUP(C1897,'CHAS - Cook Co'!$C$1:$J$2762,2,FALSE) - VLOOKUP(C1897,'CHAS - Chicago'!$C$1:$J$2762,2,FALSE)</f>
        <v>8260</v>
      </c>
      <c r="E1897" t="s">
        <v>373</v>
      </c>
      <c r="F1897" s="71" t="s">
        <v>367</v>
      </c>
      <c r="G1897" s="71" t="s">
        <v>2375</v>
      </c>
      <c r="H1897" s="71" t="s">
        <v>2354</v>
      </c>
      <c r="I1897" s="71" t="s">
        <v>2338</v>
      </c>
    </row>
    <row r="1898" spans="1:9" ht="43.5" x14ac:dyDescent="0.35">
      <c r="A1898">
        <v>13</v>
      </c>
      <c r="B1898">
        <v>50</v>
      </c>
      <c r="C1898" t="s">
        <v>2390</v>
      </c>
      <c r="D1898" s="64">
        <f>VLOOKUP(C1898,'CHAS - Cook Co'!$C$1:$J$2762,2,FALSE) - VLOOKUP(C1898,'CHAS - Chicago'!$C$1:$J$2762,2,FALSE)</f>
        <v>39365</v>
      </c>
      <c r="E1898" t="s">
        <v>373</v>
      </c>
      <c r="F1898" s="71" t="s">
        <v>367</v>
      </c>
      <c r="G1898" s="71" t="s">
        <v>2375</v>
      </c>
      <c r="H1898" s="71" t="s">
        <v>2354</v>
      </c>
      <c r="I1898" s="71" t="s">
        <v>2340</v>
      </c>
    </row>
    <row r="1899" spans="1:9" x14ac:dyDescent="0.35">
      <c r="A1899">
        <v>13</v>
      </c>
      <c r="B1899">
        <v>51</v>
      </c>
      <c r="C1899" t="s">
        <v>2391</v>
      </c>
      <c r="D1899" s="64">
        <f>VLOOKUP(C1899,'CHAS - Cook Co'!$C$1:$J$2762,2,FALSE) - VLOOKUP(C1899,'CHAS - Chicago'!$C$1:$J$2762,2,FALSE)</f>
        <v>263750</v>
      </c>
      <c r="E1899" t="s">
        <v>366</v>
      </c>
      <c r="F1899" s="71" t="s">
        <v>508</v>
      </c>
      <c r="G1899" s="71" t="s">
        <v>2329</v>
      </c>
      <c r="H1899" s="71" t="s">
        <v>2330</v>
      </c>
      <c r="I1899" s="71" t="s">
        <v>2331</v>
      </c>
    </row>
    <row r="1900" spans="1:9" ht="29" x14ac:dyDescent="0.35">
      <c r="A1900">
        <v>13</v>
      </c>
      <c r="B1900">
        <v>52</v>
      </c>
      <c r="C1900" t="s">
        <v>2392</v>
      </c>
      <c r="D1900" s="64">
        <f>VLOOKUP(C1900,'CHAS - Cook Co'!$C$1:$J$2762,2,FALSE) - VLOOKUP(C1900,'CHAS - Chicago'!$C$1:$J$2762,2,FALSE)</f>
        <v>70250</v>
      </c>
      <c r="E1900" t="s">
        <v>366</v>
      </c>
      <c r="F1900" s="71" t="s">
        <v>508</v>
      </c>
      <c r="G1900" s="71" t="s">
        <v>2334</v>
      </c>
      <c r="H1900" s="71" t="s">
        <v>2330</v>
      </c>
      <c r="I1900" s="71" t="s">
        <v>2331</v>
      </c>
    </row>
    <row r="1901" spans="1:9" ht="43.5" x14ac:dyDescent="0.35">
      <c r="A1901">
        <v>13</v>
      </c>
      <c r="B1901">
        <v>53</v>
      </c>
      <c r="C1901" t="s">
        <v>2393</v>
      </c>
      <c r="D1901" s="64">
        <f>VLOOKUP(C1901,'CHAS - Cook Co'!$C$1:$J$2762,2,FALSE) - VLOOKUP(C1901,'CHAS - Chicago'!$C$1:$J$2762,2,FALSE)</f>
        <v>16865</v>
      </c>
      <c r="E1901" t="s">
        <v>366</v>
      </c>
      <c r="F1901" s="71" t="s">
        <v>508</v>
      </c>
      <c r="G1901" s="71" t="s">
        <v>2334</v>
      </c>
      <c r="H1901" s="71" t="s">
        <v>2336</v>
      </c>
      <c r="I1901" s="71" t="s">
        <v>2331</v>
      </c>
    </row>
    <row r="1902" spans="1:9" ht="43.5" x14ac:dyDescent="0.35">
      <c r="A1902">
        <v>13</v>
      </c>
      <c r="B1902">
        <v>54</v>
      </c>
      <c r="C1902" t="s">
        <v>2394</v>
      </c>
      <c r="D1902" s="64">
        <f>VLOOKUP(C1902,'CHAS - Cook Co'!$C$1:$J$2762,2,FALSE) - VLOOKUP(C1902,'CHAS - Chicago'!$C$1:$J$2762,2,FALSE)</f>
        <v>3060</v>
      </c>
      <c r="E1902" t="s">
        <v>373</v>
      </c>
      <c r="F1902" s="71" t="s">
        <v>508</v>
      </c>
      <c r="G1902" s="71" t="s">
        <v>2334</v>
      </c>
      <c r="H1902" s="71" t="s">
        <v>2336</v>
      </c>
      <c r="I1902" s="71" t="s">
        <v>2338</v>
      </c>
    </row>
    <row r="1903" spans="1:9" ht="43.5" x14ac:dyDescent="0.35">
      <c r="A1903">
        <v>13</v>
      </c>
      <c r="B1903">
        <v>55</v>
      </c>
      <c r="C1903" t="s">
        <v>2395</v>
      </c>
      <c r="D1903" s="64">
        <f>VLOOKUP(C1903,'CHAS - Cook Co'!$C$1:$J$2762,2,FALSE) - VLOOKUP(C1903,'CHAS - Chicago'!$C$1:$J$2762,2,FALSE)</f>
        <v>13805</v>
      </c>
      <c r="E1903" t="s">
        <v>373</v>
      </c>
      <c r="F1903" s="71" t="s">
        <v>508</v>
      </c>
      <c r="G1903" s="71" t="s">
        <v>2334</v>
      </c>
      <c r="H1903" s="71" t="s">
        <v>2336</v>
      </c>
      <c r="I1903" s="71" t="s">
        <v>2340</v>
      </c>
    </row>
    <row r="1904" spans="1:9" ht="43.5" x14ac:dyDescent="0.35">
      <c r="A1904">
        <v>13</v>
      </c>
      <c r="B1904">
        <v>56</v>
      </c>
      <c r="C1904" t="s">
        <v>2396</v>
      </c>
      <c r="D1904" s="64">
        <f>VLOOKUP(C1904,'CHAS - Cook Co'!$C$1:$J$2762,2,FALSE) - VLOOKUP(C1904,'CHAS - Chicago'!$C$1:$J$2762,2,FALSE)</f>
        <v>11875</v>
      </c>
      <c r="E1904" t="s">
        <v>366</v>
      </c>
      <c r="F1904" s="71" t="s">
        <v>508</v>
      </c>
      <c r="G1904" s="71" t="s">
        <v>2334</v>
      </c>
      <c r="H1904" s="71" t="s">
        <v>2342</v>
      </c>
      <c r="I1904" s="71" t="s">
        <v>2331</v>
      </c>
    </row>
    <row r="1905" spans="1:9" ht="43.5" x14ac:dyDescent="0.35">
      <c r="A1905">
        <v>13</v>
      </c>
      <c r="B1905">
        <v>57</v>
      </c>
      <c r="C1905" t="s">
        <v>2397</v>
      </c>
      <c r="D1905" s="64">
        <f>VLOOKUP(C1905,'CHAS - Cook Co'!$C$1:$J$2762,2,FALSE) - VLOOKUP(C1905,'CHAS - Chicago'!$C$1:$J$2762,2,FALSE)</f>
        <v>2295</v>
      </c>
      <c r="E1905" t="s">
        <v>373</v>
      </c>
      <c r="F1905" s="71" t="s">
        <v>508</v>
      </c>
      <c r="G1905" s="71" t="s">
        <v>2334</v>
      </c>
      <c r="H1905" s="71" t="s">
        <v>2342</v>
      </c>
      <c r="I1905" s="71" t="s">
        <v>2338</v>
      </c>
    </row>
    <row r="1906" spans="1:9" ht="43.5" x14ac:dyDescent="0.35">
      <c r="A1906">
        <v>13</v>
      </c>
      <c r="B1906">
        <v>58</v>
      </c>
      <c r="C1906" t="s">
        <v>2398</v>
      </c>
      <c r="D1906" s="64">
        <f>VLOOKUP(C1906,'CHAS - Cook Co'!$C$1:$J$2762,2,FALSE) - VLOOKUP(C1906,'CHAS - Chicago'!$C$1:$J$2762,2,FALSE)</f>
        <v>9570</v>
      </c>
      <c r="E1906" t="s">
        <v>373</v>
      </c>
      <c r="F1906" s="71" t="s">
        <v>508</v>
      </c>
      <c r="G1906" s="71" t="s">
        <v>2334</v>
      </c>
      <c r="H1906" s="71" t="s">
        <v>2342</v>
      </c>
      <c r="I1906" s="71" t="s">
        <v>2340</v>
      </c>
    </row>
    <row r="1907" spans="1:9" ht="43.5" x14ac:dyDescent="0.35">
      <c r="A1907">
        <v>13</v>
      </c>
      <c r="B1907">
        <v>59</v>
      </c>
      <c r="C1907" t="s">
        <v>2399</v>
      </c>
      <c r="D1907" s="64">
        <f>VLOOKUP(C1907,'CHAS - Cook Co'!$C$1:$J$2762,2,FALSE) - VLOOKUP(C1907,'CHAS - Chicago'!$C$1:$J$2762,2,FALSE)</f>
        <v>13030</v>
      </c>
      <c r="E1907" t="s">
        <v>366</v>
      </c>
      <c r="F1907" s="71" t="s">
        <v>508</v>
      </c>
      <c r="G1907" s="71" t="s">
        <v>2334</v>
      </c>
      <c r="H1907" s="71" t="s">
        <v>2346</v>
      </c>
      <c r="I1907" s="71" t="s">
        <v>2331</v>
      </c>
    </row>
    <row r="1908" spans="1:9" ht="43.5" x14ac:dyDescent="0.35">
      <c r="A1908">
        <v>13</v>
      </c>
      <c r="B1908">
        <v>60</v>
      </c>
      <c r="C1908" t="s">
        <v>2400</v>
      </c>
      <c r="D1908" s="64">
        <f>VLOOKUP(C1908,'CHAS - Cook Co'!$C$1:$J$2762,2,FALSE) - VLOOKUP(C1908,'CHAS - Chicago'!$C$1:$J$2762,2,FALSE)</f>
        <v>2340</v>
      </c>
      <c r="E1908" t="s">
        <v>373</v>
      </c>
      <c r="F1908" s="71" t="s">
        <v>508</v>
      </c>
      <c r="G1908" s="71" t="s">
        <v>2334</v>
      </c>
      <c r="H1908" s="71" t="s">
        <v>2346</v>
      </c>
      <c r="I1908" s="71" t="s">
        <v>2338</v>
      </c>
    </row>
    <row r="1909" spans="1:9" ht="43.5" x14ac:dyDescent="0.35">
      <c r="A1909">
        <v>13</v>
      </c>
      <c r="B1909">
        <v>61</v>
      </c>
      <c r="C1909" t="s">
        <v>2401</v>
      </c>
      <c r="D1909" s="64">
        <f>VLOOKUP(C1909,'CHAS - Cook Co'!$C$1:$J$2762,2,FALSE) - VLOOKUP(C1909,'CHAS - Chicago'!$C$1:$J$2762,2,FALSE)</f>
        <v>10685</v>
      </c>
      <c r="E1909" t="s">
        <v>373</v>
      </c>
      <c r="F1909" s="71" t="s">
        <v>508</v>
      </c>
      <c r="G1909" s="71" t="s">
        <v>2334</v>
      </c>
      <c r="H1909" s="71" t="s">
        <v>2346</v>
      </c>
      <c r="I1909" s="71" t="s">
        <v>2340</v>
      </c>
    </row>
    <row r="1910" spans="1:9" ht="43.5" x14ac:dyDescent="0.35">
      <c r="A1910">
        <v>13</v>
      </c>
      <c r="B1910">
        <v>62</v>
      </c>
      <c r="C1910" t="s">
        <v>2402</v>
      </c>
      <c r="D1910" s="64">
        <f>VLOOKUP(C1910,'CHAS - Cook Co'!$C$1:$J$2762,2,FALSE) - VLOOKUP(C1910,'CHAS - Chicago'!$C$1:$J$2762,2,FALSE)</f>
        <v>7345</v>
      </c>
      <c r="E1910" t="s">
        <v>366</v>
      </c>
      <c r="F1910" s="71" t="s">
        <v>508</v>
      </c>
      <c r="G1910" s="71" t="s">
        <v>2334</v>
      </c>
      <c r="H1910" s="71" t="s">
        <v>2350</v>
      </c>
      <c r="I1910" s="71" t="s">
        <v>2331</v>
      </c>
    </row>
    <row r="1911" spans="1:9" ht="43.5" x14ac:dyDescent="0.35">
      <c r="A1911">
        <v>13</v>
      </c>
      <c r="B1911">
        <v>63</v>
      </c>
      <c r="C1911" t="s">
        <v>2403</v>
      </c>
      <c r="D1911" s="64">
        <f>VLOOKUP(C1911,'CHAS - Cook Co'!$C$1:$J$2762,2,FALSE) - VLOOKUP(C1911,'CHAS - Chicago'!$C$1:$J$2762,2,FALSE)</f>
        <v>1570</v>
      </c>
      <c r="E1911" t="s">
        <v>373</v>
      </c>
      <c r="F1911" s="71" t="s">
        <v>508</v>
      </c>
      <c r="G1911" s="71" t="s">
        <v>2334</v>
      </c>
      <c r="H1911" s="71" t="s">
        <v>2350</v>
      </c>
      <c r="I1911" s="71" t="s">
        <v>2338</v>
      </c>
    </row>
    <row r="1912" spans="1:9" ht="43.5" x14ac:dyDescent="0.35">
      <c r="A1912">
        <v>13</v>
      </c>
      <c r="B1912">
        <v>64</v>
      </c>
      <c r="C1912" t="s">
        <v>2404</v>
      </c>
      <c r="D1912" s="64">
        <f>VLOOKUP(C1912,'CHAS - Cook Co'!$C$1:$J$2762,2,FALSE) - VLOOKUP(C1912,'CHAS - Chicago'!$C$1:$J$2762,2,FALSE)</f>
        <v>5775</v>
      </c>
      <c r="E1912" t="s">
        <v>373</v>
      </c>
      <c r="F1912" s="71" t="s">
        <v>508</v>
      </c>
      <c r="G1912" s="71" t="s">
        <v>2334</v>
      </c>
      <c r="H1912" s="71" t="s">
        <v>2350</v>
      </c>
      <c r="I1912" s="71" t="s">
        <v>2340</v>
      </c>
    </row>
    <row r="1913" spans="1:9" ht="43.5" x14ac:dyDescent="0.35">
      <c r="A1913">
        <v>13</v>
      </c>
      <c r="B1913">
        <v>65</v>
      </c>
      <c r="C1913" t="s">
        <v>2405</v>
      </c>
      <c r="D1913" s="64">
        <f>VLOOKUP(C1913,'CHAS - Cook Co'!$C$1:$J$2762,2,FALSE) - VLOOKUP(C1913,'CHAS - Chicago'!$C$1:$J$2762,2,FALSE)</f>
        <v>21140</v>
      </c>
      <c r="E1913" t="s">
        <v>366</v>
      </c>
      <c r="F1913" s="71" t="s">
        <v>508</v>
      </c>
      <c r="G1913" s="71" t="s">
        <v>2334</v>
      </c>
      <c r="H1913" s="71" t="s">
        <v>2354</v>
      </c>
      <c r="I1913" s="71" t="s">
        <v>2331</v>
      </c>
    </row>
    <row r="1914" spans="1:9" ht="43.5" x14ac:dyDescent="0.35">
      <c r="A1914">
        <v>13</v>
      </c>
      <c r="B1914">
        <v>66</v>
      </c>
      <c r="C1914" t="s">
        <v>2406</v>
      </c>
      <c r="D1914" s="64">
        <f>VLOOKUP(C1914,'CHAS - Cook Co'!$C$1:$J$2762,2,FALSE) - VLOOKUP(C1914,'CHAS - Chicago'!$C$1:$J$2762,2,FALSE)</f>
        <v>3515</v>
      </c>
      <c r="E1914" t="s">
        <v>373</v>
      </c>
      <c r="F1914" s="71" t="s">
        <v>508</v>
      </c>
      <c r="G1914" s="71" t="s">
        <v>2334</v>
      </c>
      <c r="H1914" s="71" t="s">
        <v>2354</v>
      </c>
      <c r="I1914" s="71" t="s">
        <v>2338</v>
      </c>
    </row>
    <row r="1915" spans="1:9" ht="43.5" x14ac:dyDescent="0.35">
      <c r="A1915">
        <v>13</v>
      </c>
      <c r="B1915">
        <v>67</v>
      </c>
      <c r="C1915" t="s">
        <v>2407</v>
      </c>
      <c r="D1915" s="64">
        <f>VLOOKUP(C1915,'CHAS - Cook Co'!$C$1:$J$2762,2,FALSE) - VLOOKUP(C1915,'CHAS - Chicago'!$C$1:$J$2762,2,FALSE)</f>
        <v>17630</v>
      </c>
      <c r="E1915" t="s">
        <v>373</v>
      </c>
      <c r="F1915" s="71" t="s">
        <v>508</v>
      </c>
      <c r="G1915" s="71" t="s">
        <v>2334</v>
      </c>
      <c r="H1915" s="71" t="s">
        <v>2354</v>
      </c>
      <c r="I1915" s="71" t="s">
        <v>2340</v>
      </c>
    </row>
    <row r="1916" spans="1:9" ht="43.5" x14ac:dyDescent="0.35">
      <c r="A1916">
        <v>13</v>
      </c>
      <c r="B1916">
        <v>68</v>
      </c>
      <c r="C1916" t="s">
        <v>2408</v>
      </c>
      <c r="D1916" s="64">
        <f>VLOOKUP(C1916,'CHAS - Cook Co'!$C$1:$J$2762,2,FALSE) - VLOOKUP(C1916,'CHAS - Chicago'!$C$1:$J$2762,2,FALSE)</f>
        <v>152085</v>
      </c>
      <c r="E1916" t="s">
        <v>366</v>
      </c>
      <c r="F1916" s="71" t="s">
        <v>508</v>
      </c>
      <c r="G1916" s="71" t="s">
        <v>2358</v>
      </c>
      <c r="H1916" s="71" t="s">
        <v>2330</v>
      </c>
      <c r="I1916" s="71" t="s">
        <v>2331</v>
      </c>
    </row>
    <row r="1917" spans="1:9" ht="43.5" x14ac:dyDescent="0.35">
      <c r="A1917">
        <v>13</v>
      </c>
      <c r="B1917">
        <v>69</v>
      </c>
      <c r="C1917" t="s">
        <v>2409</v>
      </c>
      <c r="D1917" s="64">
        <f>VLOOKUP(C1917,'CHAS - Cook Co'!$C$1:$J$2762,2,FALSE) - VLOOKUP(C1917,'CHAS - Chicago'!$C$1:$J$2762,2,FALSE)</f>
        <v>42845</v>
      </c>
      <c r="E1917" t="s">
        <v>366</v>
      </c>
      <c r="F1917" s="71" t="s">
        <v>508</v>
      </c>
      <c r="G1917" s="71" t="s">
        <v>2358</v>
      </c>
      <c r="H1917" s="71" t="s">
        <v>2336</v>
      </c>
      <c r="I1917" s="71" t="s">
        <v>2331</v>
      </c>
    </row>
    <row r="1918" spans="1:9" ht="43.5" x14ac:dyDescent="0.35">
      <c r="A1918">
        <v>13</v>
      </c>
      <c r="B1918">
        <v>70</v>
      </c>
      <c r="C1918" t="s">
        <v>2410</v>
      </c>
      <c r="D1918" s="64">
        <f>VLOOKUP(C1918,'CHAS - Cook Co'!$C$1:$J$2762,2,FALSE) - VLOOKUP(C1918,'CHAS - Chicago'!$C$1:$J$2762,2,FALSE)</f>
        <v>9560</v>
      </c>
      <c r="E1918" t="s">
        <v>373</v>
      </c>
      <c r="F1918" s="71" t="s">
        <v>508</v>
      </c>
      <c r="G1918" s="71" t="s">
        <v>2358</v>
      </c>
      <c r="H1918" s="71" t="s">
        <v>2336</v>
      </c>
      <c r="I1918" s="71" t="s">
        <v>2338</v>
      </c>
    </row>
    <row r="1919" spans="1:9" ht="43.5" x14ac:dyDescent="0.35">
      <c r="A1919">
        <v>13</v>
      </c>
      <c r="B1919">
        <v>71</v>
      </c>
      <c r="C1919" t="s">
        <v>2411</v>
      </c>
      <c r="D1919" s="64">
        <f>VLOOKUP(C1919,'CHAS - Cook Co'!$C$1:$J$2762,2,FALSE) - VLOOKUP(C1919,'CHAS - Chicago'!$C$1:$J$2762,2,FALSE)</f>
        <v>33285</v>
      </c>
      <c r="E1919" t="s">
        <v>373</v>
      </c>
      <c r="F1919" s="71" t="s">
        <v>508</v>
      </c>
      <c r="G1919" s="71" t="s">
        <v>2358</v>
      </c>
      <c r="H1919" s="71" t="s">
        <v>2336</v>
      </c>
      <c r="I1919" s="71" t="s">
        <v>2340</v>
      </c>
    </row>
    <row r="1920" spans="1:9" ht="43.5" x14ac:dyDescent="0.35">
      <c r="A1920">
        <v>13</v>
      </c>
      <c r="B1920">
        <v>72</v>
      </c>
      <c r="C1920" t="s">
        <v>2412</v>
      </c>
      <c r="D1920" s="64">
        <f>VLOOKUP(C1920,'CHAS - Cook Co'!$C$1:$J$2762,2,FALSE) - VLOOKUP(C1920,'CHAS - Chicago'!$C$1:$J$2762,2,FALSE)</f>
        <v>29080</v>
      </c>
      <c r="E1920" t="s">
        <v>366</v>
      </c>
      <c r="F1920" s="71" t="s">
        <v>508</v>
      </c>
      <c r="G1920" s="71" t="s">
        <v>2358</v>
      </c>
      <c r="H1920" s="71" t="s">
        <v>2342</v>
      </c>
      <c r="I1920" s="71" t="s">
        <v>2331</v>
      </c>
    </row>
    <row r="1921" spans="1:9" ht="43.5" x14ac:dyDescent="0.35">
      <c r="A1921">
        <v>13</v>
      </c>
      <c r="B1921">
        <v>73</v>
      </c>
      <c r="C1921" t="s">
        <v>2413</v>
      </c>
      <c r="D1921" s="64">
        <f>VLOOKUP(C1921,'CHAS - Cook Co'!$C$1:$J$2762,2,FALSE) - VLOOKUP(C1921,'CHAS - Chicago'!$C$1:$J$2762,2,FALSE)</f>
        <v>6625</v>
      </c>
      <c r="E1921" t="s">
        <v>373</v>
      </c>
      <c r="F1921" s="71" t="s">
        <v>508</v>
      </c>
      <c r="G1921" s="71" t="s">
        <v>2358</v>
      </c>
      <c r="H1921" s="71" t="s">
        <v>2342</v>
      </c>
      <c r="I1921" s="71" t="s">
        <v>2338</v>
      </c>
    </row>
    <row r="1922" spans="1:9" ht="43.5" x14ac:dyDescent="0.35">
      <c r="A1922">
        <v>13</v>
      </c>
      <c r="B1922">
        <v>74</v>
      </c>
      <c r="C1922" t="s">
        <v>2414</v>
      </c>
      <c r="D1922" s="64">
        <f>VLOOKUP(C1922,'CHAS - Cook Co'!$C$1:$J$2762,2,FALSE) - VLOOKUP(C1922,'CHAS - Chicago'!$C$1:$J$2762,2,FALSE)</f>
        <v>22460</v>
      </c>
      <c r="E1922" t="s">
        <v>373</v>
      </c>
      <c r="F1922" s="71" t="s">
        <v>508</v>
      </c>
      <c r="G1922" s="71" t="s">
        <v>2358</v>
      </c>
      <c r="H1922" s="71" t="s">
        <v>2342</v>
      </c>
      <c r="I1922" s="71" t="s">
        <v>2340</v>
      </c>
    </row>
    <row r="1923" spans="1:9" ht="43.5" x14ac:dyDescent="0.35">
      <c r="A1923">
        <v>13</v>
      </c>
      <c r="B1923">
        <v>75</v>
      </c>
      <c r="C1923" t="s">
        <v>2415</v>
      </c>
      <c r="D1923" s="64">
        <f>VLOOKUP(C1923,'CHAS - Cook Co'!$C$1:$J$2762,2,FALSE) - VLOOKUP(C1923,'CHAS - Chicago'!$C$1:$J$2762,2,FALSE)</f>
        <v>31350</v>
      </c>
      <c r="E1923" t="s">
        <v>366</v>
      </c>
      <c r="F1923" s="71" t="s">
        <v>508</v>
      </c>
      <c r="G1923" s="71" t="s">
        <v>2358</v>
      </c>
      <c r="H1923" s="71" t="s">
        <v>2346</v>
      </c>
      <c r="I1923" s="71" t="s">
        <v>2331</v>
      </c>
    </row>
    <row r="1924" spans="1:9" ht="43.5" x14ac:dyDescent="0.35">
      <c r="A1924">
        <v>13</v>
      </c>
      <c r="B1924">
        <v>76</v>
      </c>
      <c r="C1924" t="s">
        <v>2416</v>
      </c>
      <c r="D1924" s="64">
        <f>VLOOKUP(C1924,'CHAS - Cook Co'!$C$1:$J$2762,2,FALSE) - VLOOKUP(C1924,'CHAS - Chicago'!$C$1:$J$2762,2,FALSE)</f>
        <v>7095</v>
      </c>
      <c r="E1924" t="s">
        <v>373</v>
      </c>
      <c r="F1924" s="71" t="s">
        <v>508</v>
      </c>
      <c r="G1924" s="71" t="s">
        <v>2358</v>
      </c>
      <c r="H1924" s="71" t="s">
        <v>2346</v>
      </c>
      <c r="I1924" s="71" t="s">
        <v>2338</v>
      </c>
    </row>
    <row r="1925" spans="1:9" ht="43.5" x14ac:dyDescent="0.35">
      <c r="A1925">
        <v>13</v>
      </c>
      <c r="B1925">
        <v>77</v>
      </c>
      <c r="C1925" t="s">
        <v>2417</v>
      </c>
      <c r="D1925" s="64">
        <f>VLOOKUP(C1925,'CHAS - Cook Co'!$C$1:$J$2762,2,FALSE) - VLOOKUP(C1925,'CHAS - Chicago'!$C$1:$J$2762,2,FALSE)</f>
        <v>24260</v>
      </c>
      <c r="E1925" t="s">
        <v>373</v>
      </c>
      <c r="F1925" s="71" t="s">
        <v>508</v>
      </c>
      <c r="G1925" s="71" t="s">
        <v>2358</v>
      </c>
      <c r="H1925" s="71" t="s">
        <v>2346</v>
      </c>
      <c r="I1925" s="71" t="s">
        <v>2340</v>
      </c>
    </row>
    <row r="1926" spans="1:9" ht="43.5" x14ac:dyDescent="0.35">
      <c r="A1926">
        <v>13</v>
      </c>
      <c r="B1926">
        <v>78</v>
      </c>
      <c r="C1926" t="s">
        <v>2418</v>
      </c>
      <c r="D1926" s="64">
        <f>VLOOKUP(C1926,'CHAS - Cook Co'!$C$1:$J$2762,2,FALSE) - VLOOKUP(C1926,'CHAS - Chicago'!$C$1:$J$2762,2,FALSE)</f>
        <v>16285</v>
      </c>
      <c r="E1926" t="s">
        <v>366</v>
      </c>
      <c r="F1926" s="71" t="s">
        <v>508</v>
      </c>
      <c r="G1926" s="71" t="s">
        <v>2358</v>
      </c>
      <c r="H1926" s="71" t="s">
        <v>2350</v>
      </c>
      <c r="I1926" s="71" t="s">
        <v>2331</v>
      </c>
    </row>
    <row r="1927" spans="1:9" ht="43.5" x14ac:dyDescent="0.35">
      <c r="A1927">
        <v>13</v>
      </c>
      <c r="B1927">
        <v>79</v>
      </c>
      <c r="C1927" t="s">
        <v>2419</v>
      </c>
      <c r="D1927" s="64">
        <f>VLOOKUP(C1927,'CHAS - Cook Co'!$C$1:$J$2762,2,FALSE) - VLOOKUP(C1927,'CHAS - Chicago'!$C$1:$J$2762,2,FALSE)</f>
        <v>3210</v>
      </c>
      <c r="E1927" t="s">
        <v>373</v>
      </c>
      <c r="F1927" s="71" t="s">
        <v>508</v>
      </c>
      <c r="G1927" s="71" t="s">
        <v>2358</v>
      </c>
      <c r="H1927" s="71" t="s">
        <v>2350</v>
      </c>
      <c r="I1927" s="71" t="s">
        <v>2338</v>
      </c>
    </row>
    <row r="1928" spans="1:9" ht="43.5" x14ac:dyDescent="0.35">
      <c r="A1928">
        <v>13</v>
      </c>
      <c r="B1928">
        <v>80</v>
      </c>
      <c r="C1928" t="s">
        <v>2420</v>
      </c>
      <c r="D1928" s="64">
        <f>VLOOKUP(C1928,'CHAS - Cook Co'!$C$1:$J$2762,2,FALSE) - VLOOKUP(C1928,'CHAS - Chicago'!$C$1:$J$2762,2,FALSE)</f>
        <v>13075</v>
      </c>
      <c r="E1928" t="s">
        <v>373</v>
      </c>
      <c r="F1928" s="71" t="s">
        <v>508</v>
      </c>
      <c r="G1928" s="71" t="s">
        <v>2358</v>
      </c>
      <c r="H1928" s="71" t="s">
        <v>2350</v>
      </c>
      <c r="I1928" s="71" t="s">
        <v>2340</v>
      </c>
    </row>
    <row r="1929" spans="1:9" ht="43.5" x14ac:dyDescent="0.35">
      <c r="A1929">
        <v>13</v>
      </c>
      <c r="B1929">
        <v>81</v>
      </c>
      <c r="C1929" t="s">
        <v>2421</v>
      </c>
      <c r="D1929" s="64">
        <f>VLOOKUP(C1929,'CHAS - Cook Co'!$C$1:$J$2762,2,FALSE) - VLOOKUP(C1929,'CHAS - Chicago'!$C$1:$J$2762,2,FALSE)</f>
        <v>32520</v>
      </c>
      <c r="E1929" t="s">
        <v>366</v>
      </c>
      <c r="F1929" s="71" t="s">
        <v>508</v>
      </c>
      <c r="G1929" s="71" t="s">
        <v>2358</v>
      </c>
      <c r="H1929" s="71" t="s">
        <v>2354</v>
      </c>
      <c r="I1929" s="71" t="s">
        <v>2331</v>
      </c>
    </row>
    <row r="1930" spans="1:9" ht="43.5" x14ac:dyDescent="0.35">
      <c r="A1930">
        <v>13</v>
      </c>
      <c r="B1930">
        <v>82</v>
      </c>
      <c r="C1930" t="s">
        <v>2422</v>
      </c>
      <c r="D1930" s="64">
        <f>VLOOKUP(C1930,'CHAS - Cook Co'!$C$1:$J$2762,2,FALSE) - VLOOKUP(C1930,'CHAS - Chicago'!$C$1:$J$2762,2,FALSE)</f>
        <v>5900</v>
      </c>
      <c r="E1930" t="s">
        <v>373</v>
      </c>
      <c r="F1930" s="71" t="s">
        <v>508</v>
      </c>
      <c r="G1930" s="71" t="s">
        <v>2358</v>
      </c>
      <c r="H1930" s="71" t="s">
        <v>2354</v>
      </c>
      <c r="I1930" s="71" t="s">
        <v>2338</v>
      </c>
    </row>
    <row r="1931" spans="1:9" ht="43.5" x14ac:dyDescent="0.35">
      <c r="A1931">
        <v>13</v>
      </c>
      <c r="B1931">
        <v>83</v>
      </c>
      <c r="C1931" t="s">
        <v>2423</v>
      </c>
      <c r="D1931" s="64">
        <f>VLOOKUP(C1931,'CHAS - Cook Co'!$C$1:$J$2762,2,FALSE) - VLOOKUP(C1931,'CHAS - Chicago'!$C$1:$J$2762,2,FALSE)</f>
        <v>26615</v>
      </c>
      <c r="E1931" t="s">
        <v>373</v>
      </c>
      <c r="F1931" s="71" t="s">
        <v>508</v>
      </c>
      <c r="G1931" s="71" t="s">
        <v>2358</v>
      </c>
      <c r="H1931" s="71" t="s">
        <v>2354</v>
      </c>
      <c r="I1931" s="71" t="s">
        <v>2340</v>
      </c>
    </row>
    <row r="1932" spans="1:9" ht="29" x14ac:dyDescent="0.35">
      <c r="A1932">
        <v>13</v>
      </c>
      <c r="B1932">
        <v>84</v>
      </c>
      <c r="C1932" t="s">
        <v>2424</v>
      </c>
      <c r="D1932" s="64">
        <f>VLOOKUP(C1932,'CHAS - Cook Co'!$C$1:$J$2762,2,FALSE) - VLOOKUP(C1932,'CHAS - Chicago'!$C$1:$J$2762,2,FALSE)</f>
        <v>41415</v>
      </c>
      <c r="E1932" t="s">
        <v>366</v>
      </c>
      <c r="F1932" s="71" t="s">
        <v>508</v>
      </c>
      <c r="G1932" s="71" t="s">
        <v>2375</v>
      </c>
      <c r="H1932" s="71" t="s">
        <v>2330</v>
      </c>
      <c r="I1932" s="71" t="s">
        <v>2331</v>
      </c>
    </row>
    <row r="1933" spans="1:9" ht="43.5" x14ac:dyDescent="0.35">
      <c r="A1933">
        <v>13</v>
      </c>
      <c r="B1933">
        <v>85</v>
      </c>
      <c r="C1933" t="s">
        <v>2425</v>
      </c>
      <c r="D1933" s="64">
        <f>VLOOKUP(C1933,'CHAS - Cook Co'!$C$1:$J$2762,2,FALSE) - VLOOKUP(C1933,'CHAS - Chicago'!$C$1:$J$2762,2,FALSE)</f>
        <v>12065</v>
      </c>
      <c r="E1933" t="s">
        <v>366</v>
      </c>
      <c r="F1933" s="71" t="s">
        <v>508</v>
      </c>
      <c r="G1933" s="71" t="s">
        <v>2375</v>
      </c>
      <c r="H1933" s="71" t="s">
        <v>2336</v>
      </c>
      <c r="I1933" s="71" t="s">
        <v>2331</v>
      </c>
    </row>
    <row r="1934" spans="1:9" ht="43.5" x14ac:dyDescent="0.35">
      <c r="A1934">
        <v>13</v>
      </c>
      <c r="B1934">
        <v>86</v>
      </c>
      <c r="C1934" t="s">
        <v>2426</v>
      </c>
      <c r="D1934" s="64">
        <f>VLOOKUP(C1934,'CHAS - Cook Co'!$C$1:$J$2762,2,FALSE) - VLOOKUP(C1934,'CHAS - Chicago'!$C$1:$J$2762,2,FALSE)</f>
        <v>2680</v>
      </c>
      <c r="E1934" t="s">
        <v>373</v>
      </c>
      <c r="F1934" s="71" t="s">
        <v>508</v>
      </c>
      <c r="G1934" s="71" t="s">
        <v>2375</v>
      </c>
      <c r="H1934" s="71" t="s">
        <v>2336</v>
      </c>
      <c r="I1934" s="71" t="s">
        <v>2338</v>
      </c>
    </row>
    <row r="1935" spans="1:9" ht="43.5" x14ac:dyDescent="0.35">
      <c r="A1935">
        <v>13</v>
      </c>
      <c r="B1935">
        <v>87</v>
      </c>
      <c r="C1935" t="s">
        <v>2427</v>
      </c>
      <c r="D1935" s="64">
        <f>VLOOKUP(C1935,'CHAS - Cook Co'!$C$1:$J$2762,2,FALSE) - VLOOKUP(C1935,'CHAS - Chicago'!$C$1:$J$2762,2,FALSE)</f>
        <v>9385</v>
      </c>
      <c r="E1935" t="s">
        <v>373</v>
      </c>
      <c r="F1935" s="71" t="s">
        <v>508</v>
      </c>
      <c r="G1935" s="71" t="s">
        <v>2375</v>
      </c>
      <c r="H1935" s="71" t="s">
        <v>2336</v>
      </c>
      <c r="I1935" s="71" t="s">
        <v>2340</v>
      </c>
    </row>
    <row r="1936" spans="1:9" ht="43.5" x14ac:dyDescent="0.35">
      <c r="A1936">
        <v>13</v>
      </c>
      <c r="B1936">
        <v>88</v>
      </c>
      <c r="C1936" t="s">
        <v>2428</v>
      </c>
      <c r="D1936" s="64">
        <f>VLOOKUP(C1936,'CHAS - Cook Co'!$C$1:$J$2762,2,FALSE) - VLOOKUP(C1936,'CHAS - Chicago'!$C$1:$J$2762,2,FALSE)</f>
        <v>7535</v>
      </c>
      <c r="E1936" t="s">
        <v>366</v>
      </c>
      <c r="F1936" s="71" t="s">
        <v>508</v>
      </c>
      <c r="G1936" s="71" t="s">
        <v>2375</v>
      </c>
      <c r="H1936" s="71" t="s">
        <v>2342</v>
      </c>
      <c r="I1936" s="71" t="s">
        <v>2331</v>
      </c>
    </row>
    <row r="1937" spans="1:9" ht="43.5" x14ac:dyDescent="0.35">
      <c r="A1937">
        <v>13</v>
      </c>
      <c r="B1937">
        <v>89</v>
      </c>
      <c r="C1937" t="s">
        <v>2429</v>
      </c>
      <c r="D1937" s="64">
        <f>VLOOKUP(C1937,'CHAS - Cook Co'!$C$1:$J$2762,2,FALSE) - VLOOKUP(C1937,'CHAS - Chicago'!$C$1:$J$2762,2,FALSE)</f>
        <v>1985</v>
      </c>
      <c r="E1937" t="s">
        <v>373</v>
      </c>
      <c r="F1937" s="71" t="s">
        <v>508</v>
      </c>
      <c r="G1937" s="71" t="s">
        <v>2375</v>
      </c>
      <c r="H1937" s="71" t="s">
        <v>2342</v>
      </c>
      <c r="I1937" s="71" t="s">
        <v>2338</v>
      </c>
    </row>
    <row r="1938" spans="1:9" ht="43.5" x14ac:dyDescent="0.35">
      <c r="A1938">
        <v>13</v>
      </c>
      <c r="B1938">
        <v>90</v>
      </c>
      <c r="C1938" t="s">
        <v>2430</v>
      </c>
      <c r="D1938" s="64">
        <f>VLOOKUP(C1938,'CHAS - Cook Co'!$C$1:$J$2762,2,FALSE) - VLOOKUP(C1938,'CHAS - Chicago'!$C$1:$J$2762,2,FALSE)</f>
        <v>5550</v>
      </c>
      <c r="E1938" t="s">
        <v>373</v>
      </c>
      <c r="F1938" s="71" t="s">
        <v>508</v>
      </c>
      <c r="G1938" s="71" t="s">
        <v>2375</v>
      </c>
      <c r="H1938" s="71" t="s">
        <v>2342</v>
      </c>
      <c r="I1938" s="71" t="s">
        <v>2340</v>
      </c>
    </row>
    <row r="1939" spans="1:9" ht="43.5" x14ac:dyDescent="0.35">
      <c r="A1939">
        <v>13</v>
      </c>
      <c r="B1939">
        <v>91</v>
      </c>
      <c r="C1939" t="s">
        <v>2431</v>
      </c>
      <c r="D1939" s="64">
        <f>VLOOKUP(C1939,'CHAS - Cook Co'!$C$1:$J$2762,2,FALSE) - VLOOKUP(C1939,'CHAS - Chicago'!$C$1:$J$2762,2,FALSE)</f>
        <v>9660</v>
      </c>
      <c r="E1939" t="s">
        <v>366</v>
      </c>
      <c r="F1939" s="71" t="s">
        <v>508</v>
      </c>
      <c r="G1939" s="71" t="s">
        <v>2375</v>
      </c>
      <c r="H1939" s="71" t="s">
        <v>2346</v>
      </c>
      <c r="I1939" s="71" t="s">
        <v>2331</v>
      </c>
    </row>
    <row r="1940" spans="1:9" ht="43.5" x14ac:dyDescent="0.35">
      <c r="A1940">
        <v>13</v>
      </c>
      <c r="B1940">
        <v>92</v>
      </c>
      <c r="C1940" t="s">
        <v>2432</v>
      </c>
      <c r="D1940" s="64">
        <f>VLOOKUP(C1940,'CHAS - Cook Co'!$C$1:$J$2762,2,FALSE) - VLOOKUP(C1940,'CHAS - Chicago'!$C$1:$J$2762,2,FALSE)</f>
        <v>2070</v>
      </c>
      <c r="E1940" t="s">
        <v>373</v>
      </c>
      <c r="F1940" s="71" t="s">
        <v>508</v>
      </c>
      <c r="G1940" s="71" t="s">
        <v>2375</v>
      </c>
      <c r="H1940" s="71" t="s">
        <v>2346</v>
      </c>
      <c r="I1940" s="71" t="s">
        <v>2338</v>
      </c>
    </row>
    <row r="1941" spans="1:9" ht="43.5" x14ac:dyDescent="0.35">
      <c r="A1941">
        <v>13</v>
      </c>
      <c r="B1941">
        <v>93</v>
      </c>
      <c r="C1941" t="s">
        <v>2433</v>
      </c>
      <c r="D1941" s="64">
        <f>VLOOKUP(C1941,'CHAS - Cook Co'!$C$1:$J$2762,2,FALSE) - VLOOKUP(C1941,'CHAS - Chicago'!$C$1:$J$2762,2,FALSE)</f>
        <v>7590</v>
      </c>
      <c r="E1941" t="s">
        <v>373</v>
      </c>
      <c r="F1941" s="71" t="s">
        <v>508</v>
      </c>
      <c r="G1941" s="71" t="s">
        <v>2375</v>
      </c>
      <c r="H1941" s="71" t="s">
        <v>2346</v>
      </c>
      <c r="I1941" s="71" t="s">
        <v>2340</v>
      </c>
    </row>
    <row r="1942" spans="1:9" ht="43.5" x14ac:dyDescent="0.35">
      <c r="A1942">
        <v>13</v>
      </c>
      <c r="B1942">
        <v>94</v>
      </c>
      <c r="C1942" t="s">
        <v>2434</v>
      </c>
      <c r="D1942" s="64">
        <f>VLOOKUP(C1942,'CHAS - Cook Co'!$C$1:$J$2762,2,FALSE) - VLOOKUP(C1942,'CHAS - Chicago'!$C$1:$J$2762,2,FALSE)</f>
        <v>3685</v>
      </c>
      <c r="E1942" t="s">
        <v>366</v>
      </c>
      <c r="F1942" s="71" t="s">
        <v>508</v>
      </c>
      <c r="G1942" s="71" t="s">
        <v>2375</v>
      </c>
      <c r="H1942" s="71" t="s">
        <v>2350</v>
      </c>
      <c r="I1942" s="71" t="s">
        <v>2331</v>
      </c>
    </row>
    <row r="1943" spans="1:9" ht="43.5" x14ac:dyDescent="0.35">
      <c r="A1943">
        <v>13</v>
      </c>
      <c r="B1943">
        <v>95</v>
      </c>
      <c r="C1943" t="s">
        <v>2435</v>
      </c>
      <c r="D1943" s="64">
        <f>VLOOKUP(C1943,'CHAS - Cook Co'!$C$1:$J$2762,2,FALSE) - VLOOKUP(C1943,'CHAS - Chicago'!$C$1:$J$2762,2,FALSE)</f>
        <v>525</v>
      </c>
      <c r="E1943" t="s">
        <v>373</v>
      </c>
      <c r="F1943" s="71" t="s">
        <v>508</v>
      </c>
      <c r="G1943" s="71" t="s">
        <v>2375</v>
      </c>
      <c r="H1943" s="71" t="s">
        <v>2350</v>
      </c>
      <c r="I1943" s="71" t="s">
        <v>2338</v>
      </c>
    </row>
    <row r="1944" spans="1:9" ht="43.5" x14ac:dyDescent="0.35">
      <c r="A1944">
        <v>13</v>
      </c>
      <c r="B1944">
        <v>96</v>
      </c>
      <c r="C1944" t="s">
        <v>2436</v>
      </c>
      <c r="D1944" s="64">
        <f>VLOOKUP(C1944,'CHAS - Cook Co'!$C$1:$J$2762,2,FALSE) - VLOOKUP(C1944,'CHAS - Chicago'!$C$1:$J$2762,2,FALSE)</f>
        <v>3160</v>
      </c>
      <c r="E1944" t="s">
        <v>373</v>
      </c>
      <c r="F1944" s="71" t="s">
        <v>508</v>
      </c>
      <c r="G1944" s="71" t="s">
        <v>2375</v>
      </c>
      <c r="H1944" s="71" t="s">
        <v>2350</v>
      </c>
      <c r="I1944" s="71" t="s">
        <v>2340</v>
      </c>
    </row>
    <row r="1945" spans="1:9" ht="43.5" x14ac:dyDescent="0.35">
      <c r="A1945">
        <v>13</v>
      </c>
      <c r="B1945">
        <v>97</v>
      </c>
      <c r="C1945" t="s">
        <v>2437</v>
      </c>
      <c r="D1945" s="64">
        <f>VLOOKUP(C1945,'CHAS - Cook Co'!$C$1:$J$2762,2,FALSE) - VLOOKUP(C1945,'CHAS - Chicago'!$C$1:$J$2762,2,FALSE)</f>
        <v>8470</v>
      </c>
      <c r="E1945" t="s">
        <v>366</v>
      </c>
      <c r="F1945" s="71" t="s">
        <v>508</v>
      </c>
      <c r="G1945" s="71" t="s">
        <v>2375</v>
      </c>
      <c r="H1945" s="71" t="s">
        <v>2354</v>
      </c>
      <c r="I1945" s="71" t="s">
        <v>2331</v>
      </c>
    </row>
    <row r="1946" spans="1:9" ht="43.5" x14ac:dyDescent="0.35">
      <c r="A1946">
        <v>13</v>
      </c>
      <c r="B1946">
        <v>98</v>
      </c>
      <c r="C1946" t="s">
        <v>2438</v>
      </c>
      <c r="D1946" s="64">
        <f>VLOOKUP(C1946,'CHAS - Cook Co'!$C$1:$J$2762,2,FALSE) - VLOOKUP(C1946,'CHAS - Chicago'!$C$1:$J$2762,2,FALSE)</f>
        <v>1225</v>
      </c>
      <c r="E1946" t="s">
        <v>373</v>
      </c>
      <c r="F1946" s="71" t="s">
        <v>508</v>
      </c>
      <c r="G1946" s="71" t="s">
        <v>2375</v>
      </c>
      <c r="H1946" s="71" t="s">
        <v>2354</v>
      </c>
      <c r="I1946" s="71" t="s">
        <v>2338</v>
      </c>
    </row>
    <row r="1947" spans="1:9" ht="43.5" x14ac:dyDescent="0.35">
      <c r="A1947">
        <v>13</v>
      </c>
      <c r="B1947">
        <v>99</v>
      </c>
      <c r="C1947" t="s">
        <v>2439</v>
      </c>
      <c r="D1947" s="64">
        <f>VLOOKUP(C1947,'CHAS - Cook Co'!$C$1:$J$2762,2,FALSE) - VLOOKUP(C1947,'CHAS - Chicago'!$C$1:$J$2762,2,FALSE)</f>
        <v>7250</v>
      </c>
      <c r="E1947" t="s">
        <v>373</v>
      </c>
      <c r="F1947" s="71" t="s">
        <v>508</v>
      </c>
      <c r="G1947" s="71" t="s">
        <v>2375</v>
      </c>
      <c r="H1947" s="71" t="s">
        <v>2354</v>
      </c>
      <c r="I1947" s="71" t="s">
        <v>2340</v>
      </c>
    </row>
    <row r="1948" spans="1:9" ht="29" x14ac:dyDescent="0.35">
      <c r="A1948">
        <v>14</v>
      </c>
      <c r="B1948">
        <v>1</v>
      </c>
      <c r="C1948" t="s">
        <v>2440</v>
      </c>
      <c r="D1948" s="64">
        <f>VLOOKUP(C1948,'CHAS - Cook Co'!$C$1:$J$2762,2,FALSE) - VLOOKUP(C1948,'CHAS - Chicago'!$C$1:$J$2762,2,FALSE)</f>
        <v>12690</v>
      </c>
      <c r="E1948" t="s">
        <v>26</v>
      </c>
      <c r="F1948" s="71" t="s">
        <v>2441</v>
      </c>
      <c r="G1948" s="71" t="s">
        <v>1653</v>
      </c>
      <c r="H1948" s="71" t="s">
        <v>2442</v>
      </c>
      <c r="I1948" s="71" t="s">
        <v>2443</v>
      </c>
    </row>
    <row r="1949" spans="1:9" ht="29" x14ac:dyDescent="0.35">
      <c r="A1949">
        <v>14</v>
      </c>
      <c r="B1949">
        <v>1</v>
      </c>
      <c r="C1949" t="s">
        <v>2444</v>
      </c>
      <c r="D1949" s="64">
        <f>VLOOKUP(C1949,'CHAS - Cook Co'!$C$1:$J$2762,2,FALSE) - VLOOKUP(C1949,'CHAS - Chicago'!$C$1:$J$2762,2,FALSE)</f>
        <v>14620</v>
      </c>
      <c r="E1949" t="s">
        <v>26</v>
      </c>
      <c r="F1949" s="71" t="s">
        <v>2445</v>
      </c>
      <c r="G1949" s="71" t="s">
        <v>1653</v>
      </c>
      <c r="H1949" s="71" t="s">
        <v>2446</v>
      </c>
      <c r="I1949" s="71" t="s">
        <v>2443</v>
      </c>
    </row>
    <row r="1950" spans="1:9" ht="43.5" x14ac:dyDescent="0.35">
      <c r="A1950">
        <v>14</v>
      </c>
      <c r="B1950">
        <v>2</v>
      </c>
      <c r="C1950" t="s">
        <v>2447</v>
      </c>
      <c r="D1950" s="64">
        <f>VLOOKUP(C1950,'CHAS - Cook Co'!$C$1:$J$2762,2,FALSE) - VLOOKUP(C1950,'CHAS - Chicago'!$C$1:$J$2762,2,FALSE)</f>
        <v>4170</v>
      </c>
      <c r="E1950" t="s">
        <v>373</v>
      </c>
      <c r="F1950" s="71" t="s">
        <v>2448</v>
      </c>
      <c r="G1950" s="71" t="s">
        <v>2449</v>
      </c>
      <c r="H1950" s="71" t="s">
        <v>2442</v>
      </c>
      <c r="I1950" s="71" t="s">
        <v>2443</v>
      </c>
    </row>
    <row r="1951" spans="1:9" ht="43.5" x14ac:dyDescent="0.35">
      <c r="A1951">
        <v>14</v>
      </c>
      <c r="B1951">
        <v>2</v>
      </c>
      <c r="C1951" t="s">
        <v>2450</v>
      </c>
      <c r="D1951" s="64">
        <f>VLOOKUP(C1951,'CHAS - Cook Co'!$C$1:$J$2762,2,FALSE) - VLOOKUP(C1951,'CHAS - Chicago'!$C$1:$J$2762,2,FALSE)</f>
        <v>1705</v>
      </c>
      <c r="E1951" t="s">
        <v>373</v>
      </c>
      <c r="F1951" s="71" t="s">
        <v>2451</v>
      </c>
      <c r="G1951" s="71" t="s">
        <v>2449</v>
      </c>
      <c r="H1951" s="71" t="s">
        <v>2446</v>
      </c>
      <c r="I1951" s="71" t="s">
        <v>2443</v>
      </c>
    </row>
    <row r="1952" spans="1:9" ht="43.5" x14ac:dyDescent="0.35">
      <c r="A1952">
        <v>14</v>
      </c>
      <c r="B1952">
        <v>3</v>
      </c>
      <c r="C1952" t="s">
        <v>2452</v>
      </c>
      <c r="D1952" s="64">
        <f>VLOOKUP(C1952,'CHAS - Cook Co'!$C$1:$J$2762,2,FALSE) - VLOOKUP(C1952,'CHAS - Chicago'!$C$1:$J$2762,2,FALSE)</f>
        <v>8515</v>
      </c>
      <c r="E1952" t="s">
        <v>366</v>
      </c>
      <c r="F1952" s="71" t="s">
        <v>2448</v>
      </c>
      <c r="G1952" s="71" t="s">
        <v>2453</v>
      </c>
      <c r="H1952" s="71" t="s">
        <v>2442</v>
      </c>
      <c r="I1952" s="71" t="s">
        <v>2443</v>
      </c>
    </row>
    <row r="1953" spans="1:9" ht="43.5" x14ac:dyDescent="0.35">
      <c r="A1953">
        <v>14</v>
      </c>
      <c r="B1953">
        <v>3</v>
      </c>
      <c r="C1953" t="s">
        <v>2454</v>
      </c>
      <c r="D1953" s="64">
        <f>VLOOKUP(C1953,'CHAS - Cook Co'!$C$1:$J$2762,2,FALSE) - VLOOKUP(C1953,'CHAS - Chicago'!$C$1:$J$2762,2,FALSE)</f>
        <v>12915</v>
      </c>
      <c r="E1953" t="s">
        <v>366</v>
      </c>
      <c r="F1953" s="71" t="s">
        <v>2451</v>
      </c>
      <c r="G1953" s="71" t="s">
        <v>2453</v>
      </c>
      <c r="H1953" s="71" t="s">
        <v>2446</v>
      </c>
      <c r="I1953" s="71" t="s">
        <v>2443</v>
      </c>
    </row>
    <row r="1954" spans="1:9" ht="43.5" x14ac:dyDescent="0.35">
      <c r="A1954">
        <v>14</v>
      </c>
      <c r="B1954">
        <v>4</v>
      </c>
      <c r="C1954" t="s">
        <v>2457</v>
      </c>
      <c r="D1954" s="64">
        <f>VLOOKUP(C1954,'CHAS - Cook Co'!$C$1:$J$2762,2,FALSE) - VLOOKUP(C1954,'CHAS - Chicago'!$C$1:$J$2762,2,FALSE)</f>
        <v>3350</v>
      </c>
      <c r="E1954" t="s">
        <v>366</v>
      </c>
      <c r="F1954" s="71" t="s">
        <v>2448</v>
      </c>
      <c r="G1954" s="71" t="s">
        <v>2453</v>
      </c>
      <c r="H1954" s="71" t="s">
        <v>2458</v>
      </c>
      <c r="I1954" s="71" t="s">
        <v>2443</v>
      </c>
    </row>
    <row r="1955" spans="1:9" ht="43.5" x14ac:dyDescent="0.35">
      <c r="A1955">
        <v>14</v>
      </c>
      <c r="B1955">
        <v>4</v>
      </c>
      <c r="C1955" t="s">
        <v>2455</v>
      </c>
      <c r="D1955" s="64">
        <f>VLOOKUP(C1955,'CHAS - Cook Co'!$C$1:$J$2762,2,FALSE) - VLOOKUP(C1955,'CHAS - Chicago'!$C$1:$J$2762,2,FALSE)</f>
        <v>960</v>
      </c>
      <c r="E1955" t="s">
        <v>366</v>
      </c>
      <c r="F1955" s="71" t="s">
        <v>2451</v>
      </c>
      <c r="G1955" s="71" t="s">
        <v>2453</v>
      </c>
      <c r="H1955" s="71" t="s">
        <v>2456</v>
      </c>
      <c r="I1955" s="71" t="s">
        <v>2443</v>
      </c>
    </row>
    <row r="1956" spans="1:9" ht="43.5" x14ac:dyDescent="0.35">
      <c r="A1956">
        <v>14</v>
      </c>
      <c r="B1956">
        <v>5</v>
      </c>
      <c r="C1956" t="s">
        <v>2459</v>
      </c>
      <c r="D1956" s="64">
        <f>VLOOKUP(C1956,'CHAS - Cook Co'!$C$1:$J$2762,2,FALSE) - VLOOKUP(C1956,'CHAS - Chicago'!$C$1:$J$2762,2,FALSE)</f>
        <v>335</v>
      </c>
      <c r="E1956" t="s">
        <v>373</v>
      </c>
      <c r="F1956" s="71" t="s">
        <v>2448</v>
      </c>
      <c r="G1956" s="71" t="s">
        <v>2453</v>
      </c>
      <c r="H1956" s="71" t="s">
        <v>2458</v>
      </c>
      <c r="I1956" s="71" t="s">
        <v>2460</v>
      </c>
    </row>
    <row r="1957" spans="1:9" ht="43.5" x14ac:dyDescent="0.35">
      <c r="A1957">
        <v>14</v>
      </c>
      <c r="B1957">
        <v>5</v>
      </c>
      <c r="C1957" t="s">
        <v>2461</v>
      </c>
      <c r="D1957" s="64">
        <f>VLOOKUP(C1957,'CHAS - Cook Co'!$C$1:$J$2762,2,FALSE) - VLOOKUP(C1957,'CHAS - Chicago'!$C$1:$J$2762,2,FALSE)</f>
        <v>260</v>
      </c>
      <c r="E1957" t="s">
        <v>373</v>
      </c>
      <c r="F1957" s="71" t="s">
        <v>2451</v>
      </c>
      <c r="G1957" s="71" t="s">
        <v>2453</v>
      </c>
      <c r="H1957" s="71" t="s">
        <v>2456</v>
      </c>
      <c r="I1957" s="71" t="s">
        <v>2460</v>
      </c>
    </row>
    <row r="1958" spans="1:9" ht="43.5" x14ac:dyDescent="0.35">
      <c r="A1958">
        <v>14</v>
      </c>
      <c r="B1958">
        <v>6</v>
      </c>
      <c r="C1958" t="s">
        <v>2464</v>
      </c>
      <c r="D1958" s="64">
        <f>VLOOKUP(C1958,'CHAS - Cook Co'!$C$1:$J$2762,2,FALSE) - VLOOKUP(C1958,'CHAS - Chicago'!$C$1:$J$2762,2,FALSE)</f>
        <v>1345</v>
      </c>
      <c r="E1958" t="s">
        <v>373</v>
      </c>
      <c r="F1958" s="71" t="s">
        <v>2448</v>
      </c>
      <c r="G1958" s="71" t="s">
        <v>2453</v>
      </c>
      <c r="H1958" s="71" t="s">
        <v>2458</v>
      </c>
      <c r="I1958" s="71" t="s">
        <v>2463</v>
      </c>
    </row>
    <row r="1959" spans="1:9" ht="43.5" x14ac:dyDescent="0.35">
      <c r="A1959">
        <v>14</v>
      </c>
      <c r="B1959">
        <v>6</v>
      </c>
      <c r="C1959" t="s">
        <v>2462</v>
      </c>
      <c r="D1959" s="64">
        <f>VLOOKUP(C1959,'CHAS - Cook Co'!$C$1:$J$2762,2,FALSE) - VLOOKUP(C1959,'CHAS - Chicago'!$C$1:$J$2762,2,FALSE)</f>
        <v>310</v>
      </c>
      <c r="E1959" t="s">
        <v>373</v>
      </c>
      <c r="F1959" s="71" t="s">
        <v>2451</v>
      </c>
      <c r="G1959" s="71" t="s">
        <v>2453</v>
      </c>
      <c r="H1959" s="71" t="s">
        <v>2456</v>
      </c>
      <c r="I1959" s="71" t="s">
        <v>2463</v>
      </c>
    </row>
    <row r="1960" spans="1:9" ht="43.5" x14ac:dyDescent="0.35">
      <c r="A1960">
        <v>14</v>
      </c>
      <c r="B1960">
        <v>7</v>
      </c>
      <c r="C1960" t="s">
        <v>2465</v>
      </c>
      <c r="D1960" s="64">
        <f>VLOOKUP(C1960,'CHAS - Cook Co'!$C$1:$J$2762,2,FALSE) - VLOOKUP(C1960,'CHAS - Chicago'!$C$1:$J$2762,2,FALSE)</f>
        <v>1675</v>
      </c>
      <c r="E1960" t="s">
        <v>373</v>
      </c>
      <c r="F1960" s="71" t="s">
        <v>2448</v>
      </c>
      <c r="G1960" s="71" t="s">
        <v>2453</v>
      </c>
      <c r="H1960" s="71" t="s">
        <v>2458</v>
      </c>
      <c r="I1960" s="71" t="s">
        <v>2466</v>
      </c>
    </row>
    <row r="1961" spans="1:9" ht="43.5" x14ac:dyDescent="0.35">
      <c r="A1961">
        <v>14</v>
      </c>
      <c r="B1961">
        <v>7</v>
      </c>
      <c r="C1961" t="s">
        <v>2467</v>
      </c>
      <c r="D1961" s="64">
        <f>VLOOKUP(C1961,'CHAS - Cook Co'!$C$1:$J$2762,2,FALSE) - VLOOKUP(C1961,'CHAS - Chicago'!$C$1:$J$2762,2,FALSE)</f>
        <v>395</v>
      </c>
      <c r="E1961" t="s">
        <v>373</v>
      </c>
      <c r="F1961" s="71" t="s">
        <v>2451</v>
      </c>
      <c r="G1961" s="71" t="s">
        <v>2453</v>
      </c>
      <c r="H1961" s="71" t="s">
        <v>2456</v>
      </c>
      <c r="I1961" s="71" t="s">
        <v>2466</v>
      </c>
    </row>
    <row r="1962" spans="1:9" ht="43.5" x14ac:dyDescent="0.35">
      <c r="A1962">
        <v>14</v>
      </c>
      <c r="B1962">
        <v>8</v>
      </c>
      <c r="C1962" t="s">
        <v>2470</v>
      </c>
      <c r="D1962" s="64">
        <f>VLOOKUP(C1962,'CHAS - Cook Co'!$C$1:$J$2762,2,FALSE) - VLOOKUP(C1962,'CHAS - Chicago'!$C$1:$J$2762,2,FALSE)</f>
        <v>2385</v>
      </c>
      <c r="E1962" t="s">
        <v>366</v>
      </c>
      <c r="F1962" s="71" t="s">
        <v>2448</v>
      </c>
      <c r="G1962" s="71" t="s">
        <v>2453</v>
      </c>
      <c r="H1962" s="71" t="s">
        <v>2471</v>
      </c>
      <c r="I1962" s="71" t="s">
        <v>2443</v>
      </c>
    </row>
    <row r="1963" spans="1:9" ht="43.5" x14ac:dyDescent="0.35">
      <c r="A1963">
        <v>14</v>
      </c>
      <c r="B1963">
        <v>8</v>
      </c>
      <c r="C1963" t="s">
        <v>2468</v>
      </c>
      <c r="D1963" s="64">
        <f>VLOOKUP(C1963,'CHAS - Cook Co'!$C$1:$J$2762,2,FALSE) - VLOOKUP(C1963,'CHAS - Chicago'!$C$1:$J$2762,2,FALSE)</f>
        <v>5385</v>
      </c>
      <c r="E1963" t="s">
        <v>366</v>
      </c>
      <c r="F1963" s="71" t="s">
        <v>2451</v>
      </c>
      <c r="G1963" s="71" t="s">
        <v>2453</v>
      </c>
      <c r="H1963" s="71" t="s">
        <v>2469</v>
      </c>
      <c r="I1963" s="71" t="s">
        <v>2443</v>
      </c>
    </row>
    <row r="1964" spans="1:9" ht="43.5" x14ac:dyDescent="0.35">
      <c r="A1964">
        <v>14</v>
      </c>
      <c r="B1964">
        <v>9</v>
      </c>
      <c r="C1964" t="s">
        <v>2473</v>
      </c>
      <c r="D1964" s="64">
        <f>VLOOKUP(C1964,'CHAS - Cook Co'!$C$1:$J$2762,2,FALSE) - VLOOKUP(C1964,'CHAS - Chicago'!$C$1:$J$2762,2,FALSE)</f>
        <v>75</v>
      </c>
      <c r="E1964" t="s">
        <v>373</v>
      </c>
      <c r="F1964" s="71" t="s">
        <v>2448</v>
      </c>
      <c r="G1964" s="71" t="s">
        <v>2453</v>
      </c>
      <c r="H1964" s="71" t="s">
        <v>2471</v>
      </c>
      <c r="I1964" s="71" t="s">
        <v>2460</v>
      </c>
    </row>
    <row r="1965" spans="1:9" ht="43.5" x14ac:dyDescent="0.35">
      <c r="A1965">
        <v>14</v>
      </c>
      <c r="B1965">
        <v>9</v>
      </c>
      <c r="C1965" t="s">
        <v>2472</v>
      </c>
      <c r="D1965" s="64">
        <f>VLOOKUP(C1965,'CHAS - Cook Co'!$C$1:$J$2762,2,FALSE) - VLOOKUP(C1965,'CHAS - Chicago'!$C$1:$J$2762,2,FALSE)</f>
        <v>1820</v>
      </c>
      <c r="E1965" t="s">
        <v>373</v>
      </c>
      <c r="F1965" s="71" t="s">
        <v>2451</v>
      </c>
      <c r="G1965" s="71" t="s">
        <v>2453</v>
      </c>
      <c r="H1965" s="71" t="s">
        <v>2469</v>
      </c>
      <c r="I1965" s="71" t="s">
        <v>2460</v>
      </c>
    </row>
    <row r="1966" spans="1:9" ht="43.5" x14ac:dyDescent="0.35">
      <c r="A1966">
        <v>14</v>
      </c>
      <c r="B1966">
        <v>10</v>
      </c>
      <c r="C1966" t="s">
        <v>2474</v>
      </c>
      <c r="D1966" s="64">
        <f>VLOOKUP(C1966,'CHAS - Cook Co'!$C$1:$J$2762,2,FALSE) - VLOOKUP(C1966,'CHAS - Chicago'!$C$1:$J$2762,2,FALSE)</f>
        <v>885</v>
      </c>
      <c r="E1966" t="s">
        <v>373</v>
      </c>
      <c r="F1966" s="71" t="s">
        <v>2448</v>
      </c>
      <c r="G1966" s="71" t="s">
        <v>2453</v>
      </c>
      <c r="H1966" s="71" t="s">
        <v>2471</v>
      </c>
      <c r="I1966" s="71" t="s">
        <v>2463</v>
      </c>
    </row>
    <row r="1967" spans="1:9" ht="43.5" x14ac:dyDescent="0.35">
      <c r="A1967">
        <v>14</v>
      </c>
      <c r="B1967">
        <v>10</v>
      </c>
      <c r="C1967" t="s">
        <v>2475</v>
      </c>
      <c r="D1967" s="64">
        <f>VLOOKUP(C1967,'CHAS - Cook Co'!$C$1:$J$2762,2,FALSE) - VLOOKUP(C1967,'CHAS - Chicago'!$C$1:$J$2762,2,FALSE)</f>
        <v>2620</v>
      </c>
      <c r="E1967" t="s">
        <v>373</v>
      </c>
      <c r="F1967" s="71" t="s">
        <v>2451</v>
      </c>
      <c r="G1967" s="71" t="s">
        <v>2453</v>
      </c>
      <c r="H1967" s="71" t="s">
        <v>2469</v>
      </c>
      <c r="I1967" s="71" t="s">
        <v>2463</v>
      </c>
    </row>
    <row r="1968" spans="1:9" ht="43.5" x14ac:dyDescent="0.35">
      <c r="A1968">
        <v>14</v>
      </c>
      <c r="B1968">
        <v>11</v>
      </c>
      <c r="C1968" t="s">
        <v>2476</v>
      </c>
      <c r="D1968" s="64">
        <f>VLOOKUP(C1968,'CHAS - Cook Co'!$C$1:$J$2762,2,FALSE) - VLOOKUP(C1968,'CHAS - Chicago'!$C$1:$J$2762,2,FALSE)</f>
        <v>1425</v>
      </c>
      <c r="E1968" t="s">
        <v>373</v>
      </c>
      <c r="F1968" s="71" t="s">
        <v>2448</v>
      </c>
      <c r="G1968" s="71" t="s">
        <v>2453</v>
      </c>
      <c r="H1968" s="71" t="s">
        <v>2471</v>
      </c>
      <c r="I1968" s="71" t="s">
        <v>2466</v>
      </c>
    </row>
    <row r="1969" spans="1:9" ht="43.5" x14ac:dyDescent="0.35">
      <c r="A1969">
        <v>14</v>
      </c>
      <c r="B1969">
        <v>11</v>
      </c>
      <c r="C1969" t="s">
        <v>2477</v>
      </c>
      <c r="D1969" s="64">
        <f>VLOOKUP(C1969,'CHAS - Cook Co'!$C$1:$J$2762,2,FALSE) - VLOOKUP(C1969,'CHAS - Chicago'!$C$1:$J$2762,2,FALSE)</f>
        <v>950</v>
      </c>
      <c r="E1969" t="s">
        <v>373</v>
      </c>
      <c r="F1969" s="71" t="s">
        <v>2451</v>
      </c>
      <c r="G1969" s="71" t="s">
        <v>2453</v>
      </c>
      <c r="H1969" s="71" t="s">
        <v>2469</v>
      </c>
      <c r="I1969" s="71" t="s">
        <v>2466</v>
      </c>
    </row>
    <row r="1970" spans="1:9" ht="43.5" x14ac:dyDescent="0.35">
      <c r="A1970">
        <v>14</v>
      </c>
      <c r="B1970">
        <v>12</v>
      </c>
      <c r="C1970" t="s">
        <v>2480</v>
      </c>
      <c r="D1970" s="64">
        <f>VLOOKUP(C1970,'CHAS - Cook Co'!$C$1:$J$2762,2,FALSE) - VLOOKUP(C1970,'CHAS - Chicago'!$C$1:$J$2762,2,FALSE)</f>
        <v>830</v>
      </c>
      <c r="E1970" t="s">
        <v>366</v>
      </c>
      <c r="F1970" s="71" t="s">
        <v>2448</v>
      </c>
      <c r="G1970" s="71" t="s">
        <v>2453</v>
      </c>
      <c r="H1970" s="71" t="s">
        <v>2481</v>
      </c>
      <c r="I1970" s="71" t="s">
        <v>2443</v>
      </c>
    </row>
    <row r="1971" spans="1:9" ht="43.5" x14ac:dyDescent="0.35">
      <c r="A1971">
        <v>14</v>
      </c>
      <c r="B1971">
        <v>12</v>
      </c>
      <c r="C1971" t="s">
        <v>2478</v>
      </c>
      <c r="D1971" s="64">
        <f>VLOOKUP(C1971,'CHAS - Cook Co'!$C$1:$J$2762,2,FALSE) - VLOOKUP(C1971,'CHAS - Chicago'!$C$1:$J$2762,2,FALSE)</f>
        <v>4970</v>
      </c>
      <c r="E1971" t="s">
        <v>366</v>
      </c>
      <c r="F1971" s="71" t="s">
        <v>2451</v>
      </c>
      <c r="G1971" s="71" t="s">
        <v>2453</v>
      </c>
      <c r="H1971" s="71" t="s">
        <v>2479</v>
      </c>
      <c r="I1971" s="71" t="s">
        <v>2443</v>
      </c>
    </row>
    <row r="1972" spans="1:9" ht="43.5" x14ac:dyDescent="0.35">
      <c r="A1972">
        <v>14</v>
      </c>
      <c r="B1972">
        <v>13</v>
      </c>
      <c r="C1972" t="s">
        <v>2482</v>
      </c>
      <c r="D1972" s="64">
        <f>VLOOKUP(C1972,'CHAS - Cook Co'!$C$1:$J$2762,2,FALSE) - VLOOKUP(C1972,'CHAS - Chicago'!$C$1:$J$2762,2,FALSE)</f>
        <v>20</v>
      </c>
      <c r="E1972" t="s">
        <v>373</v>
      </c>
      <c r="F1972" s="71" t="s">
        <v>2448</v>
      </c>
      <c r="G1972" s="71" t="s">
        <v>2453</v>
      </c>
      <c r="H1972" s="71" t="s">
        <v>2481</v>
      </c>
      <c r="I1972" s="71" t="s">
        <v>2460</v>
      </c>
    </row>
    <row r="1973" spans="1:9" ht="43.5" x14ac:dyDescent="0.35">
      <c r="A1973">
        <v>14</v>
      </c>
      <c r="B1973">
        <v>13</v>
      </c>
      <c r="C1973" t="s">
        <v>2483</v>
      </c>
      <c r="D1973" s="64">
        <f>VLOOKUP(C1973,'CHAS - Cook Co'!$C$1:$J$2762,2,FALSE) - VLOOKUP(C1973,'CHAS - Chicago'!$C$1:$J$2762,2,FALSE)</f>
        <v>2305</v>
      </c>
      <c r="E1973" t="s">
        <v>373</v>
      </c>
      <c r="F1973" s="71" t="s">
        <v>2451</v>
      </c>
      <c r="G1973" s="71" t="s">
        <v>2453</v>
      </c>
      <c r="H1973" s="71" t="s">
        <v>2479</v>
      </c>
      <c r="I1973" s="71" t="s">
        <v>2460</v>
      </c>
    </row>
    <row r="1974" spans="1:9" ht="43.5" x14ac:dyDescent="0.35">
      <c r="A1974">
        <v>14</v>
      </c>
      <c r="B1974">
        <v>14</v>
      </c>
      <c r="C1974" t="s">
        <v>2485</v>
      </c>
      <c r="D1974" s="64">
        <f>VLOOKUP(C1974,'CHAS - Cook Co'!$C$1:$J$2762,2,FALSE) - VLOOKUP(C1974,'CHAS - Chicago'!$C$1:$J$2762,2,FALSE)</f>
        <v>245</v>
      </c>
      <c r="E1974" t="s">
        <v>373</v>
      </c>
      <c r="F1974" s="71" t="s">
        <v>2448</v>
      </c>
      <c r="G1974" s="71" t="s">
        <v>2453</v>
      </c>
      <c r="H1974" s="71" t="s">
        <v>2481</v>
      </c>
      <c r="I1974" s="71" t="s">
        <v>2463</v>
      </c>
    </row>
    <row r="1975" spans="1:9" ht="43.5" x14ac:dyDescent="0.35">
      <c r="A1975">
        <v>14</v>
      </c>
      <c r="B1975">
        <v>14</v>
      </c>
      <c r="C1975" t="s">
        <v>2484</v>
      </c>
      <c r="D1975" s="64">
        <f>VLOOKUP(C1975,'CHAS - Cook Co'!$C$1:$J$2762,2,FALSE) - VLOOKUP(C1975,'CHAS - Chicago'!$C$1:$J$2762,2,FALSE)</f>
        <v>1810</v>
      </c>
      <c r="E1975" t="s">
        <v>373</v>
      </c>
      <c r="F1975" s="71" t="s">
        <v>2451</v>
      </c>
      <c r="G1975" s="71" t="s">
        <v>2453</v>
      </c>
      <c r="H1975" s="71" t="s">
        <v>2479</v>
      </c>
      <c r="I1975" s="71" t="s">
        <v>2463</v>
      </c>
    </row>
    <row r="1976" spans="1:9" ht="43.5" x14ac:dyDescent="0.35">
      <c r="A1976">
        <v>14</v>
      </c>
      <c r="B1976">
        <v>15</v>
      </c>
      <c r="C1976" t="s">
        <v>2486</v>
      </c>
      <c r="D1976" s="64">
        <f>VLOOKUP(C1976,'CHAS - Cook Co'!$C$1:$J$2762,2,FALSE) - VLOOKUP(C1976,'CHAS - Chicago'!$C$1:$J$2762,2,FALSE)</f>
        <v>565</v>
      </c>
      <c r="E1976" t="s">
        <v>373</v>
      </c>
      <c r="F1976" s="71" t="s">
        <v>2448</v>
      </c>
      <c r="G1976" s="71" t="s">
        <v>2453</v>
      </c>
      <c r="H1976" s="71" t="s">
        <v>2481</v>
      </c>
      <c r="I1976" s="71" t="s">
        <v>2466</v>
      </c>
    </row>
    <row r="1977" spans="1:9" ht="43.5" x14ac:dyDescent="0.35">
      <c r="A1977">
        <v>14</v>
      </c>
      <c r="B1977">
        <v>15</v>
      </c>
      <c r="C1977" t="s">
        <v>2487</v>
      </c>
      <c r="D1977" s="64">
        <f>VLOOKUP(C1977,'CHAS - Cook Co'!$C$1:$J$2762,2,FALSE) - VLOOKUP(C1977,'CHAS - Chicago'!$C$1:$J$2762,2,FALSE)</f>
        <v>860</v>
      </c>
      <c r="E1977" t="s">
        <v>373</v>
      </c>
      <c r="F1977" s="71" t="s">
        <v>2451</v>
      </c>
      <c r="G1977" s="71" t="s">
        <v>2453</v>
      </c>
      <c r="H1977" s="71" t="s">
        <v>2479</v>
      </c>
      <c r="I1977" s="71" t="s">
        <v>2466</v>
      </c>
    </row>
    <row r="1978" spans="1:9" ht="43.5" x14ac:dyDescent="0.35">
      <c r="A1978">
        <v>14</v>
      </c>
      <c r="B1978">
        <v>16</v>
      </c>
      <c r="C1978" t="s">
        <v>2488</v>
      </c>
      <c r="D1978" s="64">
        <f>VLOOKUP(C1978,'CHAS - Cook Co'!$C$1:$J$2762,2,FALSE) - VLOOKUP(C1978,'CHAS - Chicago'!$C$1:$J$2762,2,FALSE)</f>
        <v>1945</v>
      </c>
      <c r="E1978" t="s">
        <v>366</v>
      </c>
      <c r="F1978" s="71" t="s">
        <v>2448</v>
      </c>
      <c r="G1978" s="71" t="s">
        <v>2453</v>
      </c>
      <c r="H1978" s="71" t="s">
        <v>2489</v>
      </c>
      <c r="I1978" s="71" t="s">
        <v>2443</v>
      </c>
    </row>
    <row r="1979" spans="1:9" ht="43.5" x14ac:dyDescent="0.35">
      <c r="A1979">
        <v>14</v>
      </c>
      <c r="B1979">
        <v>16</v>
      </c>
      <c r="C1979" t="s">
        <v>2490</v>
      </c>
      <c r="D1979" s="64">
        <f>VLOOKUP(C1979,'CHAS - Cook Co'!$C$1:$J$2762,2,FALSE) - VLOOKUP(C1979,'CHAS - Chicago'!$C$1:$J$2762,2,FALSE)</f>
        <v>1595</v>
      </c>
      <c r="E1979" t="s">
        <v>366</v>
      </c>
      <c r="F1979" s="71" t="s">
        <v>2451</v>
      </c>
      <c r="G1979" s="71" t="s">
        <v>2453</v>
      </c>
      <c r="H1979" s="71" t="s">
        <v>2491</v>
      </c>
      <c r="I1979" s="71" t="s">
        <v>2443</v>
      </c>
    </row>
    <row r="1980" spans="1:9" ht="43.5" x14ac:dyDescent="0.35">
      <c r="A1980">
        <v>14</v>
      </c>
      <c r="B1980">
        <v>17</v>
      </c>
      <c r="C1980" t="s">
        <v>2492</v>
      </c>
      <c r="D1980" s="64">
        <f>VLOOKUP(C1980,'CHAS - Cook Co'!$C$1:$J$2762,2,FALSE) - VLOOKUP(C1980,'CHAS - Chicago'!$C$1:$J$2762,2,FALSE)</f>
        <v>165</v>
      </c>
      <c r="E1980" t="s">
        <v>373</v>
      </c>
      <c r="F1980" s="71" t="s">
        <v>2448</v>
      </c>
      <c r="G1980" s="71" t="s">
        <v>2453</v>
      </c>
      <c r="H1980" s="71" t="s">
        <v>2489</v>
      </c>
      <c r="I1980" s="71" t="s">
        <v>2460</v>
      </c>
    </row>
    <row r="1981" spans="1:9" ht="43.5" x14ac:dyDescent="0.35">
      <c r="A1981">
        <v>14</v>
      </c>
      <c r="B1981">
        <v>17</v>
      </c>
      <c r="C1981" t="s">
        <v>2493</v>
      </c>
      <c r="D1981" s="64">
        <f>VLOOKUP(C1981,'CHAS - Cook Co'!$C$1:$J$2762,2,FALSE) - VLOOKUP(C1981,'CHAS - Chicago'!$C$1:$J$2762,2,FALSE)</f>
        <v>530</v>
      </c>
      <c r="E1981" t="s">
        <v>373</v>
      </c>
      <c r="F1981" s="71" t="s">
        <v>2451</v>
      </c>
      <c r="G1981" s="71" t="s">
        <v>2453</v>
      </c>
      <c r="H1981" s="71" t="s">
        <v>2491</v>
      </c>
      <c r="I1981" s="71" t="s">
        <v>2460</v>
      </c>
    </row>
    <row r="1982" spans="1:9" ht="43.5" x14ac:dyDescent="0.35">
      <c r="A1982">
        <v>14</v>
      </c>
      <c r="B1982">
        <v>18</v>
      </c>
      <c r="C1982" t="s">
        <v>2494</v>
      </c>
      <c r="D1982" s="64">
        <f>VLOOKUP(C1982,'CHAS - Cook Co'!$C$1:$J$2762,2,FALSE) - VLOOKUP(C1982,'CHAS - Chicago'!$C$1:$J$2762,2,FALSE)</f>
        <v>445</v>
      </c>
      <c r="E1982" t="s">
        <v>373</v>
      </c>
      <c r="F1982" s="71" t="s">
        <v>2448</v>
      </c>
      <c r="G1982" s="71" t="s">
        <v>2453</v>
      </c>
      <c r="H1982" s="71" t="s">
        <v>2489</v>
      </c>
      <c r="I1982" s="71" t="s">
        <v>2463</v>
      </c>
    </row>
    <row r="1983" spans="1:9" ht="43.5" x14ac:dyDescent="0.35">
      <c r="A1983">
        <v>14</v>
      </c>
      <c r="B1983">
        <v>18</v>
      </c>
      <c r="C1983" t="s">
        <v>2495</v>
      </c>
      <c r="D1983" s="64">
        <f>VLOOKUP(C1983,'CHAS - Cook Co'!$C$1:$J$2762,2,FALSE) - VLOOKUP(C1983,'CHAS - Chicago'!$C$1:$J$2762,2,FALSE)</f>
        <v>670</v>
      </c>
      <c r="E1983" t="s">
        <v>373</v>
      </c>
      <c r="F1983" s="71" t="s">
        <v>2451</v>
      </c>
      <c r="G1983" s="71" t="s">
        <v>2453</v>
      </c>
      <c r="H1983" s="71" t="s">
        <v>2491</v>
      </c>
      <c r="I1983" s="71" t="s">
        <v>2463</v>
      </c>
    </row>
    <row r="1984" spans="1:9" ht="43.5" x14ac:dyDescent="0.35">
      <c r="A1984">
        <v>14</v>
      </c>
      <c r="B1984">
        <v>19</v>
      </c>
      <c r="C1984" t="s">
        <v>2496</v>
      </c>
      <c r="D1984" s="64">
        <f>VLOOKUP(C1984,'CHAS - Cook Co'!$C$1:$J$2762,2,FALSE) - VLOOKUP(C1984,'CHAS - Chicago'!$C$1:$J$2762,2,FALSE)</f>
        <v>1340</v>
      </c>
      <c r="E1984" t="s">
        <v>373</v>
      </c>
      <c r="F1984" s="71" t="s">
        <v>2448</v>
      </c>
      <c r="G1984" s="71" t="s">
        <v>2453</v>
      </c>
      <c r="H1984" s="71" t="s">
        <v>2489</v>
      </c>
      <c r="I1984" s="71" t="s">
        <v>2466</v>
      </c>
    </row>
    <row r="1985" spans="1:10" ht="43.5" x14ac:dyDescent="0.35">
      <c r="A1985">
        <v>14</v>
      </c>
      <c r="B1985">
        <v>19</v>
      </c>
      <c r="C1985" t="s">
        <v>2497</v>
      </c>
      <c r="D1985" s="64">
        <f>VLOOKUP(C1985,'CHAS - Cook Co'!$C$1:$J$2762,2,FALSE) - VLOOKUP(C1985,'CHAS - Chicago'!$C$1:$J$2762,2,FALSE)</f>
        <v>385</v>
      </c>
      <c r="E1985" t="s">
        <v>373</v>
      </c>
      <c r="F1985" s="71" t="s">
        <v>2451</v>
      </c>
      <c r="G1985" s="71" t="s">
        <v>2453</v>
      </c>
      <c r="H1985" s="71" t="s">
        <v>2491</v>
      </c>
      <c r="I1985" s="71" t="s">
        <v>2466</v>
      </c>
    </row>
    <row r="1986" spans="1:10" ht="29" x14ac:dyDescent="0.35">
      <c r="A1986">
        <v>15</v>
      </c>
      <c r="B1986">
        <v>1</v>
      </c>
      <c r="C1986" t="s">
        <v>2500</v>
      </c>
      <c r="D1986" s="64">
        <f>VLOOKUP(C1986,'CHAS - Cook Co'!$C$1:$J$2762,2,FALSE) - VLOOKUP(C1986,'CHAS - Chicago'!$C$1:$J$2762,2,FALSE)</f>
        <v>426740</v>
      </c>
      <c r="E1986" t="s">
        <v>26</v>
      </c>
      <c r="F1986" s="71" t="s">
        <v>2501</v>
      </c>
      <c r="G1986" s="71" t="s">
        <v>1653</v>
      </c>
      <c r="H1986" s="71" t="s">
        <v>2502</v>
      </c>
      <c r="I1986" s="71" t="s">
        <v>363</v>
      </c>
      <c r="J1986" s="71" t="s">
        <v>2443</v>
      </c>
    </row>
    <row r="1987" spans="1:10" ht="29" x14ac:dyDescent="0.35">
      <c r="A1987">
        <v>15</v>
      </c>
      <c r="B1987">
        <v>1</v>
      </c>
      <c r="C1987" t="s">
        <v>2503</v>
      </c>
      <c r="D1987" s="64">
        <f>VLOOKUP(C1987,'CHAS - Cook Co'!$C$1:$J$2762,2,FALSE) - VLOOKUP(C1987,'CHAS - Chicago'!$C$1:$J$2762,2,FALSE)</f>
        <v>218540</v>
      </c>
      <c r="E1987" t="s">
        <v>26</v>
      </c>
      <c r="F1987" s="71" t="s">
        <v>2504</v>
      </c>
      <c r="G1987" s="71" t="s">
        <v>1653</v>
      </c>
      <c r="H1987" s="71" t="s">
        <v>2502</v>
      </c>
      <c r="I1987" s="71" t="s">
        <v>363</v>
      </c>
      <c r="J1987" s="71" t="s">
        <v>2443</v>
      </c>
    </row>
    <row r="1988" spans="1:10" ht="29" x14ac:dyDescent="0.35">
      <c r="A1988">
        <v>15</v>
      </c>
      <c r="B1988">
        <v>1</v>
      </c>
      <c r="C1988" t="s">
        <v>2498</v>
      </c>
      <c r="D1988" s="64">
        <f>VLOOKUP(C1988,'CHAS - Cook Co'!$C$1:$J$2762,2,FALSE) - VLOOKUP(C1988,'CHAS - Chicago'!$C$1:$J$2762,2,FALSE)</f>
        <v>263750</v>
      </c>
      <c r="E1988" t="s">
        <v>26</v>
      </c>
      <c r="F1988" s="71" t="s">
        <v>2499</v>
      </c>
      <c r="G1988" s="71" t="s">
        <v>1653</v>
      </c>
      <c r="H1988" s="71" t="s">
        <v>2446</v>
      </c>
      <c r="I1988" s="71" t="s">
        <v>363</v>
      </c>
      <c r="J1988" s="71" t="s">
        <v>2443</v>
      </c>
    </row>
    <row r="1989" spans="1:10" ht="29" x14ac:dyDescent="0.35">
      <c r="A1989">
        <v>15</v>
      </c>
      <c r="B1989">
        <v>2</v>
      </c>
      <c r="C1989" t="s">
        <v>2507</v>
      </c>
      <c r="D1989" s="64">
        <f>VLOOKUP(C1989,'CHAS - Cook Co'!$C$1:$J$2762,2,FALSE) - VLOOKUP(C1989,'CHAS - Chicago'!$C$1:$J$2762,2,FALSE)</f>
        <v>660</v>
      </c>
      <c r="E1989" t="s">
        <v>373</v>
      </c>
      <c r="F1989" s="71" t="s">
        <v>2508</v>
      </c>
      <c r="G1989" s="71" t="s">
        <v>2506</v>
      </c>
      <c r="H1989" s="71" t="s">
        <v>2502</v>
      </c>
      <c r="I1989" s="71" t="s">
        <v>363</v>
      </c>
      <c r="J1989" s="71" t="s">
        <v>2443</v>
      </c>
    </row>
    <row r="1990" spans="1:10" ht="29" x14ac:dyDescent="0.35">
      <c r="A1990">
        <v>15</v>
      </c>
      <c r="B1990">
        <v>2</v>
      </c>
      <c r="C1990" t="s">
        <v>2509</v>
      </c>
      <c r="D1990" s="64">
        <f>VLOOKUP(C1990,'CHAS - Cook Co'!$C$1:$J$2762,2,FALSE) - VLOOKUP(C1990,'CHAS - Chicago'!$C$1:$J$2762,2,FALSE)</f>
        <v>980</v>
      </c>
      <c r="E1990" t="s">
        <v>373</v>
      </c>
      <c r="F1990" s="71" t="s">
        <v>2510</v>
      </c>
      <c r="G1990" s="71" t="s">
        <v>2506</v>
      </c>
      <c r="H1990" s="71" t="s">
        <v>2502</v>
      </c>
      <c r="I1990" s="71" t="s">
        <v>363</v>
      </c>
      <c r="J1990" s="71" t="s">
        <v>2443</v>
      </c>
    </row>
    <row r="1991" spans="1:10" ht="29" x14ac:dyDescent="0.35">
      <c r="A1991">
        <v>15</v>
      </c>
      <c r="B1991">
        <v>2</v>
      </c>
      <c r="C1991" t="s">
        <v>2505</v>
      </c>
      <c r="D1991" s="64">
        <f>VLOOKUP(C1991,'CHAS - Cook Co'!$C$1:$J$2762,2,FALSE) - VLOOKUP(C1991,'CHAS - Chicago'!$C$1:$J$2762,2,FALSE)</f>
        <v>3875</v>
      </c>
      <c r="E1991" t="s">
        <v>373</v>
      </c>
      <c r="F1991" s="71" t="s">
        <v>508</v>
      </c>
      <c r="G1991" s="71" t="s">
        <v>2506</v>
      </c>
      <c r="H1991" s="71" t="s">
        <v>2446</v>
      </c>
      <c r="I1991" s="71" t="s">
        <v>363</v>
      </c>
      <c r="J1991" s="71" t="s">
        <v>2443</v>
      </c>
    </row>
    <row r="1992" spans="1:10" ht="29" x14ac:dyDescent="0.35">
      <c r="A1992">
        <v>15</v>
      </c>
      <c r="B1992">
        <v>3</v>
      </c>
      <c r="C1992" t="s">
        <v>2511</v>
      </c>
      <c r="D1992" s="64">
        <f>VLOOKUP(C1992,'CHAS - Cook Co'!$C$1:$J$2762,2,FALSE) - VLOOKUP(C1992,'CHAS - Chicago'!$C$1:$J$2762,2,FALSE)</f>
        <v>426080</v>
      </c>
      <c r="E1992" t="s">
        <v>366</v>
      </c>
      <c r="F1992" s="71" t="s">
        <v>2508</v>
      </c>
      <c r="G1992" s="71" t="s">
        <v>2512</v>
      </c>
      <c r="H1992" s="71" t="s">
        <v>2502</v>
      </c>
      <c r="I1992" s="71" t="s">
        <v>363</v>
      </c>
      <c r="J1992" s="71" t="s">
        <v>2443</v>
      </c>
    </row>
    <row r="1993" spans="1:10" ht="29" x14ac:dyDescent="0.35">
      <c r="A1993">
        <v>15</v>
      </c>
      <c r="B1993">
        <v>3</v>
      </c>
      <c r="C1993" t="s">
        <v>2513</v>
      </c>
      <c r="D1993" s="64">
        <f>VLOOKUP(C1993,'CHAS - Cook Co'!$C$1:$J$2762,2,FALSE) - VLOOKUP(C1993,'CHAS - Chicago'!$C$1:$J$2762,2,FALSE)</f>
        <v>217555</v>
      </c>
      <c r="E1993" t="s">
        <v>366</v>
      </c>
      <c r="F1993" s="71" t="s">
        <v>2510</v>
      </c>
      <c r="G1993" s="71" t="s">
        <v>2512</v>
      </c>
      <c r="H1993" s="71" t="s">
        <v>2502</v>
      </c>
      <c r="I1993" s="71" t="s">
        <v>363</v>
      </c>
      <c r="J1993" s="71" t="s">
        <v>2443</v>
      </c>
    </row>
    <row r="1994" spans="1:10" ht="29" x14ac:dyDescent="0.35">
      <c r="A1994">
        <v>15</v>
      </c>
      <c r="B1994">
        <v>3</v>
      </c>
      <c r="C1994" t="s">
        <v>2514</v>
      </c>
      <c r="D1994" s="64">
        <f>VLOOKUP(C1994,'CHAS - Cook Co'!$C$1:$J$2762,2,FALSE) - VLOOKUP(C1994,'CHAS - Chicago'!$C$1:$J$2762,2,FALSE)</f>
        <v>259875</v>
      </c>
      <c r="E1994" t="s">
        <v>366</v>
      </c>
      <c r="F1994" s="71" t="s">
        <v>508</v>
      </c>
      <c r="G1994" s="71" t="s">
        <v>2512</v>
      </c>
      <c r="H1994" s="71" t="s">
        <v>2446</v>
      </c>
      <c r="I1994" s="71" t="s">
        <v>363</v>
      </c>
      <c r="J1994" s="71" t="s">
        <v>2443</v>
      </c>
    </row>
    <row r="1995" spans="1:10" ht="29" x14ac:dyDescent="0.35">
      <c r="A1995">
        <v>15</v>
      </c>
      <c r="B1995">
        <v>4</v>
      </c>
      <c r="C1995" t="s">
        <v>2516</v>
      </c>
      <c r="D1995" s="64">
        <f>VLOOKUP(C1995,'CHAS - Cook Co'!$C$1:$J$2762,2,FALSE) - VLOOKUP(C1995,'CHAS - Chicago'!$C$1:$J$2762,2,FALSE)</f>
        <v>117075</v>
      </c>
      <c r="E1995" t="s">
        <v>366</v>
      </c>
      <c r="F1995" s="71" t="s">
        <v>2508</v>
      </c>
      <c r="G1995" s="71" t="s">
        <v>2512</v>
      </c>
      <c r="H1995" s="71" t="s">
        <v>2517</v>
      </c>
      <c r="I1995" s="71" t="s">
        <v>363</v>
      </c>
      <c r="J1995" s="71" t="s">
        <v>2443</v>
      </c>
    </row>
    <row r="1996" spans="1:10" ht="29" x14ac:dyDescent="0.35">
      <c r="A1996">
        <v>15</v>
      </c>
      <c r="B1996">
        <v>4</v>
      </c>
      <c r="C1996" t="s">
        <v>2518</v>
      </c>
      <c r="D1996" s="64">
        <f>VLOOKUP(C1996,'CHAS - Cook Co'!$C$1:$J$2762,2,FALSE) - VLOOKUP(C1996,'CHAS - Chicago'!$C$1:$J$2762,2,FALSE)</f>
        <v>65070</v>
      </c>
      <c r="E1996" t="s">
        <v>366</v>
      </c>
      <c r="F1996" s="71" t="s">
        <v>2510</v>
      </c>
      <c r="G1996" s="71" t="s">
        <v>2512</v>
      </c>
      <c r="H1996" s="71" t="s">
        <v>2517</v>
      </c>
      <c r="I1996" s="71" t="s">
        <v>363</v>
      </c>
      <c r="J1996" s="71" t="s">
        <v>2443</v>
      </c>
    </row>
    <row r="1997" spans="1:10" ht="29" x14ac:dyDescent="0.35">
      <c r="A1997">
        <v>15</v>
      </c>
      <c r="B1997">
        <v>4</v>
      </c>
      <c r="C1997" t="s">
        <v>2515</v>
      </c>
      <c r="D1997" s="64">
        <f>VLOOKUP(C1997,'CHAS - Cook Co'!$C$1:$J$2762,2,FALSE) - VLOOKUP(C1997,'CHAS - Chicago'!$C$1:$J$2762,2,FALSE)</f>
        <v>25620</v>
      </c>
      <c r="E1997" t="s">
        <v>366</v>
      </c>
      <c r="F1997" s="71" t="s">
        <v>508</v>
      </c>
      <c r="G1997" s="71" t="s">
        <v>2512</v>
      </c>
      <c r="H1997" s="71" t="s">
        <v>2456</v>
      </c>
      <c r="I1997" s="71" t="s">
        <v>363</v>
      </c>
      <c r="J1997" s="71" t="s">
        <v>2443</v>
      </c>
    </row>
    <row r="1998" spans="1:10" ht="43.5" x14ac:dyDescent="0.35">
      <c r="A1998">
        <v>15</v>
      </c>
      <c r="B1998">
        <v>5</v>
      </c>
      <c r="C1998" t="s">
        <v>2520</v>
      </c>
      <c r="D1998" s="64">
        <f>VLOOKUP(C1998,'CHAS - Cook Co'!$C$1:$J$2762,2,FALSE) - VLOOKUP(C1998,'CHAS - Chicago'!$C$1:$J$2762,2,FALSE)</f>
        <v>12585</v>
      </c>
      <c r="E1998" t="s">
        <v>366</v>
      </c>
      <c r="F1998" s="71" t="s">
        <v>2508</v>
      </c>
      <c r="G1998" s="71" t="s">
        <v>2512</v>
      </c>
      <c r="H1998" s="71" t="s">
        <v>2517</v>
      </c>
      <c r="I1998" s="71" t="s">
        <v>1377</v>
      </c>
      <c r="J1998" s="71" t="s">
        <v>2443</v>
      </c>
    </row>
    <row r="1999" spans="1:10" ht="43.5" x14ac:dyDescent="0.35">
      <c r="A1999">
        <v>15</v>
      </c>
      <c r="B1999">
        <v>5</v>
      </c>
      <c r="C1999" t="s">
        <v>2521</v>
      </c>
      <c r="D1999" s="64">
        <f>VLOOKUP(C1999,'CHAS - Cook Co'!$C$1:$J$2762,2,FALSE) - VLOOKUP(C1999,'CHAS - Chicago'!$C$1:$J$2762,2,FALSE)</f>
        <v>13455</v>
      </c>
      <c r="E1999" t="s">
        <v>366</v>
      </c>
      <c r="F1999" s="71" t="s">
        <v>2510</v>
      </c>
      <c r="G1999" s="71" t="s">
        <v>2512</v>
      </c>
      <c r="H1999" s="71" t="s">
        <v>2517</v>
      </c>
      <c r="I1999" s="71" t="s">
        <v>1377</v>
      </c>
      <c r="J1999" s="71" t="s">
        <v>2443</v>
      </c>
    </row>
    <row r="2000" spans="1:10" ht="29" x14ac:dyDescent="0.35">
      <c r="A2000">
        <v>15</v>
      </c>
      <c r="B2000">
        <v>5</v>
      </c>
      <c r="C2000" t="s">
        <v>2519</v>
      </c>
      <c r="D2000" s="64">
        <f>VLOOKUP(C2000,'CHAS - Cook Co'!$C$1:$J$2762,2,FALSE) - VLOOKUP(C2000,'CHAS - Chicago'!$C$1:$J$2762,2,FALSE)</f>
        <v>14675</v>
      </c>
      <c r="E2000" t="s">
        <v>366</v>
      </c>
      <c r="F2000" s="71" t="s">
        <v>508</v>
      </c>
      <c r="G2000" s="71" t="s">
        <v>2512</v>
      </c>
      <c r="H2000" s="71" t="s">
        <v>2456</v>
      </c>
      <c r="I2000" s="71" t="s">
        <v>371</v>
      </c>
      <c r="J2000" s="71" t="s">
        <v>2443</v>
      </c>
    </row>
    <row r="2001" spans="1:10" ht="43.5" x14ac:dyDescent="0.35">
      <c r="A2001">
        <v>15</v>
      </c>
      <c r="B2001">
        <v>6</v>
      </c>
      <c r="C2001" t="s">
        <v>2522</v>
      </c>
      <c r="D2001" s="64">
        <f>VLOOKUP(C2001,'CHAS - Cook Co'!$C$1:$J$2762,2,FALSE) - VLOOKUP(C2001,'CHAS - Chicago'!$C$1:$J$2762,2,FALSE)</f>
        <v>995</v>
      </c>
      <c r="E2001" t="s">
        <v>373</v>
      </c>
      <c r="F2001" s="71" t="s">
        <v>2508</v>
      </c>
      <c r="G2001" s="71" t="s">
        <v>2512</v>
      </c>
      <c r="H2001" s="71" t="s">
        <v>2517</v>
      </c>
      <c r="I2001" s="71" t="s">
        <v>1377</v>
      </c>
      <c r="J2001" s="71" t="s">
        <v>2460</v>
      </c>
    </row>
    <row r="2002" spans="1:10" ht="43.5" x14ac:dyDescent="0.35">
      <c r="A2002">
        <v>15</v>
      </c>
      <c r="B2002">
        <v>6</v>
      </c>
      <c r="C2002" t="s">
        <v>2523</v>
      </c>
      <c r="D2002" s="64">
        <f>VLOOKUP(C2002,'CHAS - Cook Co'!$C$1:$J$2762,2,FALSE) - VLOOKUP(C2002,'CHAS - Chicago'!$C$1:$J$2762,2,FALSE)</f>
        <v>1335</v>
      </c>
      <c r="E2002" t="s">
        <v>373</v>
      </c>
      <c r="F2002" s="71" t="s">
        <v>2510</v>
      </c>
      <c r="G2002" s="71" t="s">
        <v>2512</v>
      </c>
      <c r="H2002" s="71" t="s">
        <v>2517</v>
      </c>
      <c r="I2002" s="71" t="s">
        <v>1377</v>
      </c>
      <c r="J2002" s="71" t="s">
        <v>2460</v>
      </c>
    </row>
    <row r="2003" spans="1:10" ht="29" x14ac:dyDescent="0.35">
      <c r="A2003">
        <v>15</v>
      </c>
      <c r="B2003">
        <v>6</v>
      </c>
      <c r="C2003" t="s">
        <v>2524</v>
      </c>
      <c r="D2003" s="64">
        <f>VLOOKUP(C2003,'CHAS - Cook Co'!$C$1:$J$2762,2,FALSE) - VLOOKUP(C2003,'CHAS - Chicago'!$C$1:$J$2762,2,FALSE)</f>
        <v>6020</v>
      </c>
      <c r="E2003" t="s">
        <v>373</v>
      </c>
      <c r="F2003" s="71" t="s">
        <v>508</v>
      </c>
      <c r="G2003" s="71" t="s">
        <v>2512</v>
      </c>
      <c r="H2003" s="71" t="s">
        <v>2456</v>
      </c>
      <c r="I2003" s="71" t="s">
        <v>371</v>
      </c>
      <c r="J2003" s="71" t="s">
        <v>2460</v>
      </c>
    </row>
    <row r="2004" spans="1:10" ht="43.5" x14ac:dyDescent="0.35">
      <c r="A2004">
        <v>15</v>
      </c>
      <c r="B2004">
        <v>7</v>
      </c>
      <c r="C2004" t="s">
        <v>2525</v>
      </c>
      <c r="D2004" s="64">
        <f>VLOOKUP(C2004,'CHAS - Cook Co'!$C$1:$J$2762,2,FALSE) - VLOOKUP(C2004,'CHAS - Chicago'!$C$1:$J$2762,2,FALSE)</f>
        <v>4670</v>
      </c>
      <c r="E2004" t="s">
        <v>373</v>
      </c>
      <c r="F2004" s="71" t="s">
        <v>2508</v>
      </c>
      <c r="G2004" s="71" t="s">
        <v>2512</v>
      </c>
      <c r="H2004" s="71" t="s">
        <v>2517</v>
      </c>
      <c r="I2004" s="71" t="s">
        <v>1377</v>
      </c>
      <c r="J2004" s="71" t="s">
        <v>2463</v>
      </c>
    </row>
    <row r="2005" spans="1:10" ht="43.5" x14ac:dyDescent="0.35">
      <c r="A2005">
        <v>15</v>
      </c>
      <c r="B2005">
        <v>7</v>
      </c>
      <c r="C2005" t="s">
        <v>2527</v>
      </c>
      <c r="D2005" s="64">
        <f>VLOOKUP(C2005,'CHAS - Cook Co'!$C$1:$J$2762,2,FALSE) - VLOOKUP(C2005,'CHAS - Chicago'!$C$1:$J$2762,2,FALSE)</f>
        <v>5830</v>
      </c>
      <c r="E2005" t="s">
        <v>373</v>
      </c>
      <c r="F2005" s="71" t="s">
        <v>2510</v>
      </c>
      <c r="G2005" s="71" t="s">
        <v>2512</v>
      </c>
      <c r="H2005" s="71" t="s">
        <v>2517</v>
      </c>
      <c r="I2005" s="71" t="s">
        <v>1377</v>
      </c>
      <c r="J2005" s="71" t="s">
        <v>2463</v>
      </c>
    </row>
    <row r="2006" spans="1:10" ht="29" x14ac:dyDescent="0.35">
      <c r="A2006">
        <v>15</v>
      </c>
      <c r="B2006">
        <v>7</v>
      </c>
      <c r="C2006" t="s">
        <v>2526</v>
      </c>
      <c r="D2006" s="64">
        <f>VLOOKUP(C2006,'CHAS - Cook Co'!$C$1:$J$2762,2,FALSE) - VLOOKUP(C2006,'CHAS - Chicago'!$C$1:$J$2762,2,FALSE)</f>
        <v>4855</v>
      </c>
      <c r="E2006" t="s">
        <v>373</v>
      </c>
      <c r="F2006" s="71" t="s">
        <v>508</v>
      </c>
      <c r="G2006" s="71" t="s">
        <v>2512</v>
      </c>
      <c r="H2006" s="71" t="s">
        <v>2456</v>
      </c>
      <c r="I2006" s="71" t="s">
        <v>371</v>
      </c>
      <c r="J2006" s="71" t="s">
        <v>2463</v>
      </c>
    </row>
    <row r="2007" spans="1:10" ht="43.5" x14ac:dyDescent="0.35">
      <c r="A2007">
        <v>15</v>
      </c>
      <c r="B2007">
        <v>8</v>
      </c>
      <c r="C2007" t="s">
        <v>2528</v>
      </c>
      <c r="D2007" s="64">
        <f>VLOOKUP(C2007,'CHAS - Cook Co'!$C$1:$J$2762,2,FALSE) - VLOOKUP(C2007,'CHAS - Chicago'!$C$1:$J$2762,2,FALSE)</f>
        <v>6910</v>
      </c>
      <c r="E2007" t="s">
        <v>373</v>
      </c>
      <c r="F2007" s="71" t="s">
        <v>2508</v>
      </c>
      <c r="G2007" s="71" t="s">
        <v>2512</v>
      </c>
      <c r="H2007" s="71" t="s">
        <v>2517</v>
      </c>
      <c r="I2007" s="71" t="s">
        <v>1377</v>
      </c>
      <c r="J2007" s="71" t="s">
        <v>2466</v>
      </c>
    </row>
    <row r="2008" spans="1:10" ht="43.5" x14ac:dyDescent="0.35">
      <c r="A2008">
        <v>15</v>
      </c>
      <c r="B2008">
        <v>8</v>
      </c>
      <c r="C2008" t="s">
        <v>2529</v>
      </c>
      <c r="D2008" s="64">
        <f>VLOOKUP(C2008,'CHAS - Cook Co'!$C$1:$J$2762,2,FALSE) - VLOOKUP(C2008,'CHAS - Chicago'!$C$1:$J$2762,2,FALSE)</f>
        <v>6290</v>
      </c>
      <c r="E2008" t="s">
        <v>373</v>
      </c>
      <c r="F2008" s="71" t="s">
        <v>2510</v>
      </c>
      <c r="G2008" s="71" t="s">
        <v>2512</v>
      </c>
      <c r="H2008" s="71" t="s">
        <v>2517</v>
      </c>
      <c r="I2008" s="71" t="s">
        <v>1377</v>
      </c>
      <c r="J2008" s="71" t="s">
        <v>2466</v>
      </c>
    </row>
    <row r="2009" spans="1:10" ht="29" x14ac:dyDescent="0.35">
      <c r="A2009">
        <v>15</v>
      </c>
      <c r="B2009">
        <v>8</v>
      </c>
      <c r="C2009" t="s">
        <v>2530</v>
      </c>
      <c r="D2009" s="64">
        <f>VLOOKUP(C2009,'CHAS - Cook Co'!$C$1:$J$2762,2,FALSE) - VLOOKUP(C2009,'CHAS - Chicago'!$C$1:$J$2762,2,FALSE)</f>
        <v>3800</v>
      </c>
      <c r="E2009" t="s">
        <v>373</v>
      </c>
      <c r="F2009" s="71" t="s">
        <v>508</v>
      </c>
      <c r="G2009" s="71" t="s">
        <v>2512</v>
      </c>
      <c r="H2009" s="71" t="s">
        <v>2456</v>
      </c>
      <c r="I2009" s="71" t="s">
        <v>371</v>
      </c>
      <c r="J2009" s="71" t="s">
        <v>2466</v>
      </c>
    </row>
    <row r="2010" spans="1:10" ht="43.5" x14ac:dyDescent="0.35">
      <c r="A2010">
        <v>15</v>
      </c>
      <c r="B2010">
        <v>9</v>
      </c>
      <c r="C2010" t="s">
        <v>2533</v>
      </c>
      <c r="D2010" s="64">
        <f>VLOOKUP(C2010,'CHAS - Cook Co'!$C$1:$J$2762,2,FALSE) - VLOOKUP(C2010,'CHAS - Chicago'!$C$1:$J$2762,2,FALSE)</f>
        <v>14775</v>
      </c>
      <c r="E2010" t="s">
        <v>366</v>
      </c>
      <c r="F2010" s="71" t="s">
        <v>2508</v>
      </c>
      <c r="G2010" s="71" t="s">
        <v>2512</v>
      </c>
      <c r="H2010" s="71" t="s">
        <v>2517</v>
      </c>
      <c r="I2010" s="71" t="s">
        <v>1413</v>
      </c>
      <c r="J2010" s="71" t="s">
        <v>2443</v>
      </c>
    </row>
    <row r="2011" spans="1:10" ht="43.5" x14ac:dyDescent="0.35">
      <c r="A2011">
        <v>15</v>
      </c>
      <c r="B2011">
        <v>9</v>
      </c>
      <c r="C2011" t="s">
        <v>2532</v>
      </c>
      <c r="D2011" s="64">
        <f>VLOOKUP(C2011,'CHAS - Cook Co'!$C$1:$J$2762,2,FALSE) - VLOOKUP(C2011,'CHAS - Chicago'!$C$1:$J$2762,2,FALSE)</f>
        <v>13020</v>
      </c>
      <c r="E2011" t="s">
        <v>366</v>
      </c>
      <c r="F2011" s="71" t="s">
        <v>2510</v>
      </c>
      <c r="G2011" s="71" t="s">
        <v>2512</v>
      </c>
      <c r="H2011" s="71" t="s">
        <v>2517</v>
      </c>
      <c r="I2011" s="71" t="s">
        <v>1413</v>
      </c>
      <c r="J2011" s="71" t="s">
        <v>2443</v>
      </c>
    </row>
    <row r="2012" spans="1:10" ht="43.5" x14ac:dyDescent="0.35">
      <c r="A2012">
        <v>15</v>
      </c>
      <c r="B2012">
        <v>9</v>
      </c>
      <c r="C2012" t="s">
        <v>2531</v>
      </c>
      <c r="D2012" s="64">
        <f>VLOOKUP(C2012,'CHAS - Cook Co'!$C$1:$J$2762,2,FALSE) - VLOOKUP(C2012,'CHAS - Chicago'!$C$1:$J$2762,2,FALSE)</f>
        <v>3625</v>
      </c>
      <c r="E2012" t="s">
        <v>366</v>
      </c>
      <c r="F2012" s="71" t="s">
        <v>508</v>
      </c>
      <c r="G2012" s="71" t="s">
        <v>2512</v>
      </c>
      <c r="H2012" s="71" t="s">
        <v>2456</v>
      </c>
      <c r="I2012" s="71" t="s">
        <v>388</v>
      </c>
      <c r="J2012" s="71" t="s">
        <v>2443</v>
      </c>
    </row>
    <row r="2013" spans="1:10" ht="43.5" x14ac:dyDescent="0.35">
      <c r="A2013">
        <v>15</v>
      </c>
      <c r="B2013">
        <v>10</v>
      </c>
      <c r="C2013" t="s">
        <v>2534</v>
      </c>
      <c r="D2013" s="64">
        <f>VLOOKUP(C2013,'CHAS - Cook Co'!$C$1:$J$2762,2,FALSE) - VLOOKUP(C2013,'CHAS - Chicago'!$C$1:$J$2762,2,FALSE)</f>
        <v>1005</v>
      </c>
      <c r="E2013" t="s">
        <v>373</v>
      </c>
      <c r="F2013" s="71" t="s">
        <v>2508</v>
      </c>
      <c r="G2013" s="71" t="s">
        <v>2512</v>
      </c>
      <c r="H2013" s="71" t="s">
        <v>2517</v>
      </c>
      <c r="I2013" s="71" t="s">
        <v>1413</v>
      </c>
      <c r="J2013" s="71" t="s">
        <v>2460</v>
      </c>
    </row>
    <row r="2014" spans="1:10" ht="43.5" x14ac:dyDescent="0.35">
      <c r="A2014">
        <v>15</v>
      </c>
      <c r="B2014">
        <v>10</v>
      </c>
      <c r="C2014" t="s">
        <v>2535</v>
      </c>
      <c r="D2014" s="64">
        <f>VLOOKUP(C2014,'CHAS - Cook Co'!$C$1:$J$2762,2,FALSE) - VLOOKUP(C2014,'CHAS - Chicago'!$C$1:$J$2762,2,FALSE)</f>
        <v>1020</v>
      </c>
      <c r="E2014" t="s">
        <v>373</v>
      </c>
      <c r="F2014" s="71" t="s">
        <v>2510</v>
      </c>
      <c r="G2014" s="71" t="s">
        <v>2512</v>
      </c>
      <c r="H2014" s="71" t="s">
        <v>2517</v>
      </c>
      <c r="I2014" s="71" t="s">
        <v>1413</v>
      </c>
      <c r="J2014" s="71" t="s">
        <v>2460</v>
      </c>
    </row>
    <row r="2015" spans="1:10" ht="43.5" x14ac:dyDescent="0.35">
      <c r="A2015">
        <v>15</v>
      </c>
      <c r="B2015">
        <v>10</v>
      </c>
      <c r="C2015" t="s">
        <v>2536</v>
      </c>
      <c r="D2015" s="64">
        <f>VLOOKUP(C2015,'CHAS - Cook Co'!$C$1:$J$2762,2,FALSE) - VLOOKUP(C2015,'CHAS - Chicago'!$C$1:$J$2762,2,FALSE)</f>
        <v>940</v>
      </c>
      <c r="E2015" t="s">
        <v>373</v>
      </c>
      <c r="F2015" s="71" t="s">
        <v>508</v>
      </c>
      <c r="G2015" s="71" t="s">
        <v>2512</v>
      </c>
      <c r="H2015" s="71" t="s">
        <v>2456</v>
      </c>
      <c r="I2015" s="71" t="s">
        <v>388</v>
      </c>
      <c r="J2015" s="71" t="s">
        <v>2460</v>
      </c>
    </row>
    <row r="2016" spans="1:10" ht="43.5" x14ac:dyDescent="0.35">
      <c r="A2016">
        <v>15</v>
      </c>
      <c r="B2016">
        <v>11</v>
      </c>
      <c r="C2016" t="s">
        <v>2539</v>
      </c>
      <c r="D2016" s="64">
        <f>VLOOKUP(C2016,'CHAS - Cook Co'!$C$1:$J$2762,2,FALSE) - VLOOKUP(C2016,'CHAS - Chicago'!$C$1:$J$2762,2,FALSE)</f>
        <v>5160</v>
      </c>
      <c r="E2016" t="s">
        <v>373</v>
      </c>
      <c r="F2016" s="71" t="s">
        <v>2508</v>
      </c>
      <c r="G2016" s="71" t="s">
        <v>2512</v>
      </c>
      <c r="H2016" s="71" t="s">
        <v>2517</v>
      </c>
      <c r="I2016" s="71" t="s">
        <v>1413</v>
      </c>
      <c r="J2016" s="71" t="s">
        <v>2463</v>
      </c>
    </row>
    <row r="2017" spans="1:10" ht="43.5" x14ac:dyDescent="0.35">
      <c r="A2017">
        <v>15</v>
      </c>
      <c r="B2017">
        <v>11</v>
      </c>
      <c r="C2017" t="s">
        <v>2538</v>
      </c>
      <c r="D2017" s="64">
        <f>VLOOKUP(C2017,'CHAS - Cook Co'!$C$1:$J$2762,2,FALSE) - VLOOKUP(C2017,'CHAS - Chicago'!$C$1:$J$2762,2,FALSE)</f>
        <v>5070</v>
      </c>
      <c r="E2017" t="s">
        <v>373</v>
      </c>
      <c r="F2017" s="71" t="s">
        <v>2510</v>
      </c>
      <c r="G2017" s="71" t="s">
        <v>2512</v>
      </c>
      <c r="H2017" s="71" t="s">
        <v>2517</v>
      </c>
      <c r="I2017" s="71" t="s">
        <v>1413</v>
      </c>
      <c r="J2017" s="71" t="s">
        <v>2463</v>
      </c>
    </row>
    <row r="2018" spans="1:10" ht="43.5" x14ac:dyDescent="0.35">
      <c r="A2018">
        <v>15</v>
      </c>
      <c r="B2018">
        <v>11</v>
      </c>
      <c r="C2018" t="s">
        <v>2537</v>
      </c>
      <c r="D2018" s="64">
        <f>VLOOKUP(C2018,'CHAS - Cook Co'!$C$1:$J$2762,2,FALSE) - VLOOKUP(C2018,'CHAS - Chicago'!$C$1:$J$2762,2,FALSE)</f>
        <v>1215</v>
      </c>
      <c r="E2018" t="s">
        <v>373</v>
      </c>
      <c r="F2018" s="71" t="s">
        <v>508</v>
      </c>
      <c r="G2018" s="71" t="s">
        <v>2512</v>
      </c>
      <c r="H2018" s="71" t="s">
        <v>2456</v>
      </c>
      <c r="I2018" s="71" t="s">
        <v>388</v>
      </c>
      <c r="J2018" s="71" t="s">
        <v>2463</v>
      </c>
    </row>
    <row r="2019" spans="1:10" ht="43.5" x14ac:dyDescent="0.35">
      <c r="A2019">
        <v>15</v>
      </c>
      <c r="B2019">
        <v>12</v>
      </c>
      <c r="C2019" t="s">
        <v>2542</v>
      </c>
      <c r="D2019" s="64">
        <f>VLOOKUP(C2019,'CHAS - Cook Co'!$C$1:$J$2762,2,FALSE) - VLOOKUP(C2019,'CHAS - Chicago'!$C$1:$J$2762,2,FALSE)</f>
        <v>8610</v>
      </c>
      <c r="E2019" t="s">
        <v>373</v>
      </c>
      <c r="F2019" s="71" t="s">
        <v>2508</v>
      </c>
      <c r="G2019" s="71" t="s">
        <v>2512</v>
      </c>
      <c r="H2019" s="71" t="s">
        <v>2517</v>
      </c>
      <c r="I2019" s="71" t="s">
        <v>1413</v>
      </c>
      <c r="J2019" s="71" t="s">
        <v>2466</v>
      </c>
    </row>
    <row r="2020" spans="1:10" ht="43.5" x14ac:dyDescent="0.35">
      <c r="A2020">
        <v>15</v>
      </c>
      <c r="B2020">
        <v>12</v>
      </c>
      <c r="C2020" t="s">
        <v>2540</v>
      </c>
      <c r="D2020" s="64">
        <f>VLOOKUP(C2020,'CHAS - Cook Co'!$C$1:$J$2762,2,FALSE) - VLOOKUP(C2020,'CHAS - Chicago'!$C$1:$J$2762,2,FALSE)</f>
        <v>6930</v>
      </c>
      <c r="E2020" t="s">
        <v>373</v>
      </c>
      <c r="F2020" s="71" t="s">
        <v>2510</v>
      </c>
      <c r="G2020" s="71" t="s">
        <v>2512</v>
      </c>
      <c r="H2020" s="71" t="s">
        <v>2517</v>
      </c>
      <c r="I2020" s="71" t="s">
        <v>1413</v>
      </c>
      <c r="J2020" s="71" t="s">
        <v>2466</v>
      </c>
    </row>
    <row r="2021" spans="1:10" ht="43.5" x14ac:dyDescent="0.35">
      <c r="A2021">
        <v>15</v>
      </c>
      <c r="B2021">
        <v>12</v>
      </c>
      <c r="C2021" t="s">
        <v>2541</v>
      </c>
      <c r="D2021" s="64">
        <f>VLOOKUP(C2021,'CHAS - Cook Co'!$C$1:$J$2762,2,FALSE) - VLOOKUP(C2021,'CHAS - Chicago'!$C$1:$J$2762,2,FALSE)</f>
        <v>1470</v>
      </c>
      <c r="E2021" t="s">
        <v>373</v>
      </c>
      <c r="F2021" s="71" t="s">
        <v>508</v>
      </c>
      <c r="G2021" s="71" t="s">
        <v>2512</v>
      </c>
      <c r="H2021" s="71" t="s">
        <v>2456</v>
      </c>
      <c r="I2021" s="71" t="s">
        <v>388</v>
      </c>
      <c r="J2021" s="71" t="s">
        <v>2466</v>
      </c>
    </row>
    <row r="2022" spans="1:10" ht="43.5" x14ac:dyDescent="0.35">
      <c r="A2022">
        <v>15</v>
      </c>
      <c r="B2022">
        <v>13</v>
      </c>
      <c r="C2022" t="s">
        <v>2545</v>
      </c>
      <c r="D2022" s="64">
        <f>VLOOKUP(C2022,'CHAS - Cook Co'!$C$1:$J$2762,2,FALSE) - VLOOKUP(C2022,'CHAS - Chicago'!$C$1:$J$2762,2,FALSE)</f>
        <v>25510</v>
      </c>
      <c r="E2022" t="s">
        <v>366</v>
      </c>
      <c r="F2022" s="71" t="s">
        <v>2508</v>
      </c>
      <c r="G2022" s="71" t="s">
        <v>2512</v>
      </c>
      <c r="H2022" s="71" t="s">
        <v>2517</v>
      </c>
      <c r="I2022" s="71" t="s">
        <v>1440</v>
      </c>
      <c r="J2022" s="71" t="s">
        <v>2443</v>
      </c>
    </row>
    <row r="2023" spans="1:10" ht="43.5" x14ac:dyDescent="0.35">
      <c r="A2023">
        <v>15</v>
      </c>
      <c r="B2023">
        <v>13</v>
      </c>
      <c r="C2023" t="s">
        <v>2543</v>
      </c>
      <c r="D2023" s="64">
        <f>VLOOKUP(C2023,'CHAS - Cook Co'!$C$1:$J$2762,2,FALSE) - VLOOKUP(C2023,'CHAS - Chicago'!$C$1:$J$2762,2,FALSE)</f>
        <v>15200</v>
      </c>
      <c r="E2023" t="s">
        <v>366</v>
      </c>
      <c r="F2023" s="71" t="s">
        <v>2510</v>
      </c>
      <c r="G2023" s="71" t="s">
        <v>2512</v>
      </c>
      <c r="H2023" s="71" t="s">
        <v>2517</v>
      </c>
      <c r="I2023" s="71" t="s">
        <v>1440</v>
      </c>
      <c r="J2023" s="71" t="s">
        <v>2443</v>
      </c>
    </row>
    <row r="2024" spans="1:10" ht="43.5" x14ac:dyDescent="0.35">
      <c r="A2024">
        <v>15</v>
      </c>
      <c r="B2024">
        <v>13</v>
      </c>
      <c r="C2024" t="s">
        <v>2544</v>
      </c>
      <c r="D2024" s="64">
        <f>VLOOKUP(C2024,'CHAS - Cook Co'!$C$1:$J$2762,2,FALSE) - VLOOKUP(C2024,'CHAS - Chicago'!$C$1:$J$2762,2,FALSE)</f>
        <v>3045</v>
      </c>
      <c r="E2024" t="s">
        <v>366</v>
      </c>
      <c r="F2024" s="71" t="s">
        <v>508</v>
      </c>
      <c r="G2024" s="71" t="s">
        <v>2512</v>
      </c>
      <c r="H2024" s="71" t="s">
        <v>2456</v>
      </c>
      <c r="I2024" s="71" t="s">
        <v>397</v>
      </c>
      <c r="J2024" s="71" t="s">
        <v>2443</v>
      </c>
    </row>
    <row r="2025" spans="1:10" ht="43.5" x14ac:dyDescent="0.35">
      <c r="A2025">
        <v>15</v>
      </c>
      <c r="B2025">
        <v>14</v>
      </c>
      <c r="C2025" t="s">
        <v>2546</v>
      </c>
      <c r="D2025" s="64">
        <f>VLOOKUP(C2025,'CHAS - Cook Co'!$C$1:$J$2762,2,FALSE) - VLOOKUP(C2025,'CHAS - Chicago'!$C$1:$J$2762,2,FALSE)</f>
        <v>1875</v>
      </c>
      <c r="E2025" t="s">
        <v>373</v>
      </c>
      <c r="F2025" s="71" t="s">
        <v>2508</v>
      </c>
      <c r="G2025" s="71" t="s">
        <v>2512</v>
      </c>
      <c r="H2025" s="71" t="s">
        <v>2517</v>
      </c>
      <c r="I2025" s="71" t="s">
        <v>1440</v>
      </c>
      <c r="J2025" s="71" t="s">
        <v>2460</v>
      </c>
    </row>
    <row r="2026" spans="1:10" ht="43.5" x14ac:dyDescent="0.35">
      <c r="A2026">
        <v>15</v>
      </c>
      <c r="B2026">
        <v>14</v>
      </c>
      <c r="C2026" t="s">
        <v>2548</v>
      </c>
      <c r="D2026" s="64">
        <f>VLOOKUP(C2026,'CHAS - Cook Co'!$C$1:$J$2762,2,FALSE) - VLOOKUP(C2026,'CHAS - Chicago'!$C$1:$J$2762,2,FALSE)</f>
        <v>1085</v>
      </c>
      <c r="E2026" t="s">
        <v>373</v>
      </c>
      <c r="F2026" s="71" t="s">
        <v>2510</v>
      </c>
      <c r="G2026" s="71" t="s">
        <v>2512</v>
      </c>
      <c r="H2026" s="71" t="s">
        <v>2517</v>
      </c>
      <c r="I2026" s="71" t="s">
        <v>1440</v>
      </c>
      <c r="J2026" s="71" t="s">
        <v>2460</v>
      </c>
    </row>
    <row r="2027" spans="1:10" ht="43.5" x14ac:dyDescent="0.35">
      <c r="A2027">
        <v>15</v>
      </c>
      <c r="B2027">
        <v>14</v>
      </c>
      <c r="C2027" t="s">
        <v>2547</v>
      </c>
      <c r="D2027" s="64">
        <f>VLOOKUP(C2027,'CHAS - Cook Co'!$C$1:$J$2762,2,FALSE) - VLOOKUP(C2027,'CHAS - Chicago'!$C$1:$J$2762,2,FALSE)</f>
        <v>380</v>
      </c>
      <c r="E2027" t="s">
        <v>373</v>
      </c>
      <c r="F2027" s="71" t="s">
        <v>508</v>
      </c>
      <c r="G2027" s="71" t="s">
        <v>2512</v>
      </c>
      <c r="H2027" s="71" t="s">
        <v>2456</v>
      </c>
      <c r="I2027" s="71" t="s">
        <v>397</v>
      </c>
      <c r="J2027" s="71" t="s">
        <v>2460</v>
      </c>
    </row>
    <row r="2028" spans="1:10" ht="43.5" x14ac:dyDescent="0.35">
      <c r="A2028">
        <v>15</v>
      </c>
      <c r="B2028">
        <v>15</v>
      </c>
      <c r="C2028" t="s">
        <v>2550</v>
      </c>
      <c r="D2028" s="64">
        <f>VLOOKUP(C2028,'CHAS - Cook Co'!$C$1:$J$2762,2,FALSE) - VLOOKUP(C2028,'CHAS - Chicago'!$C$1:$J$2762,2,FALSE)</f>
        <v>7905</v>
      </c>
      <c r="E2028" t="s">
        <v>373</v>
      </c>
      <c r="F2028" s="71" t="s">
        <v>2508</v>
      </c>
      <c r="G2028" s="71" t="s">
        <v>2512</v>
      </c>
      <c r="H2028" s="71" t="s">
        <v>2517</v>
      </c>
      <c r="I2028" s="71" t="s">
        <v>1440</v>
      </c>
      <c r="J2028" s="71" t="s">
        <v>2463</v>
      </c>
    </row>
    <row r="2029" spans="1:10" ht="43.5" x14ac:dyDescent="0.35">
      <c r="A2029">
        <v>15</v>
      </c>
      <c r="B2029">
        <v>15</v>
      </c>
      <c r="C2029" t="s">
        <v>2551</v>
      </c>
      <c r="D2029" s="64">
        <f>VLOOKUP(C2029,'CHAS - Cook Co'!$C$1:$J$2762,2,FALSE) - VLOOKUP(C2029,'CHAS - Chicago'!$C$1:$J$2762,2,FALSE)</f>
        <v>5495</v>
      </c>
      <c r="E2029" t="s">
        <v>373</v>
      </c>
      <c r="F2029" s="71" t="s">
        <v>2510</v>
      </c>
      <c r="G2029" s="71" t="s">
        <v>2512</v>
      </c>
      <c r="H2029" s="71" t="s">
        <v>2517</v>
      </c>
      <c r="I2029" s="71" t="s">
        <v>1440</v>
      </c>
      <c r="J2029" s="71" t="s">
        <v>2463</v>
      </c>
    </row>
    <row r="2030" spans="1:10" ht="43.5" x14ac:dyDescent="0.35">
      <c r="A2030">
        <v>15</v>
      </c>
      <c r="B2030">
        <v>15</v>
      </c>
      <c r="C2030" t="s">
        <v>2549</v>
      </c>
      <c r="D2030" s="64">
        <f>VLOOKUP(C2030,'CHAS - Cook Co'!$C$1:$J$2762,2,FALSE) - VLOOKUP(C2030,'CHAS - Chicago'!$C$1:$J$2762,2,FALSE)</f>
        <v>1345</v>
      </c>
      <c r="E2030" t="s">
        <v>373</v>
      </c>
      <c r="F2030" s="71" t="s">
        <v>508</v>
      </c>
      <c r="G2030" s="71" t="s">
        <v>2512</v>
      </c>
      <c r="H2030" s="71" t="s">
        <v>2456</v>
      </c>
      <c r="I2030" s="71" t="s">
        <v>397</v>
      </c>
      <c r="J2030" s="71" t="s">
        <v>2463</v>
      </c>
    </row>
    <row r="2031" spans="1:10" ht="43.5" x14ac:dyDescent="0.35">
      <c r="A2031">
        <v>15</v>
      </c>
      <c r="B2031">
        <v>16</v>
      </c>
      <c r="C2031" t="s">
        <v>2553</v>
      </c>
      <c r="D2031" s="64">
        <f>VLOOKUP(C2031,'CHAS - Cook Co'!$C$1:$J$2762,2,FALSE) - VLOOKUP(C2031,'CHAS - Chicago'!$C$1:$J$2762,2,FALSE)</f>
        <v>15730</v>
      </c>
      <c r="E2031" t="s">
        <v>373</v>
      </c>
      <c r="F2031" s="71" t="s">
        <v>2508</v>
      </c>
      <c r="G2031" s="71" t="s">
        <v>2512</v>
      </c>
      <c r="H2031" s="71" t="s">
        <v>2517</v>
      </c>
      <c r="I2031" s="71" t="s">
        <v>1440</v>
      </c>
      <c r="J2031" s="71" t="s">
        <v>2466</v>
      </c>
    </row>
    <row r="2032" spans="1:10" ht="43.5" x14ac:dyDescent="0.35">
      <c r="A2032">
        <v>15</v>
      </c>
      <c r="B2032">
        <v>16</v>
      </c>
      <c r="C2032" t="s">
        <v>2554</v>
      </c>
      <c r="D2032" s="64">
        <f>VLOOKUP(C2032,'CHAS - Cook Co'!$C$1:$J$2762,2,FALSE) - VLOOKUP(C2032,'CHAS - Chicago'!$C$1:$J$2762,2,FALSE)</f>
        <v>8610</v>
      </c>
      <c r="E2032" t="s">
        <v>373</v>
      </c>
      <c r="F2032" s="71" t="s">
        <v>2510</v>
      </c>
      <c r="G2032" s="71" t="s">
        <v>2512</v>
      </c>
      <c r="H2032" s="71" t="s">
        <v>2517</v>
      </c>
      <c r="I2032" s="71" t="s">
        <v>1440</v>
      </c>
      <c r="J2032" s="71" t="s">
        <v>2466</v>
      </c>
    </row>
    <row r="2033" spans="1:10" ht="43.5" x14ac:dyDescent="0.35">
      <c r="A2033">
        <v>15</v>
      </c>
      <c r="B2033">
        <v>16</v>
      </c>
      <c r="C2033" t="s">
        <v>2552</v>
      </c>
      <c r="D2033" s="64">
        <f>VLOOKUP(C2033,'CHAS - Cook Co'!$C$1:$J$2762,2,FALSE) - VLOOKUP(C2033,'CHAS - Chicago'!$C$1:$J$2762,2,FALSE)</f>
        <v>1325</v>
      </c>
      <c r="E2033" t="s">
        <v>373</v>
      </c>
      <c r="F2033" s="71" t="s">
        <v>508</v>
      </c>
      <c r="G2033" s="71" t="s">
        <v>2512</v>
      </c>
      <c r="H2033" s="71" t="s">
        <v>2456</v>
      </c>
      <c r="I2033" s="71" t="s">
        <v>397</v>
      </c>
      <c r="J2033" s="71" t="s">
        <v>2466</v>
      </c>
    </row>
    <row r="2034" spans="1:10" ht="43.5" x14ac:dyDescent="0.35">
      <c r="A2034">
        <v>15</v>
      </c>
      <c r="B2034">
        <v>17</v>
      </c>
      <c r="C2034" t="s">
        <v>2557</v>
      </c>
      <c r="D2034" s="64">
        <f>VLOOKUP(C2034,'CHAS - Cook Co'!$C$1:$J$2762,2,FALSE) - VLOOKUP(C2034,'CHAS - Chicago'!$C$1:$J$2762,2,FALSE)</f>
        <v>17655</v>
      </c>
      <c r="E2034" t="s">
        <v>366</v>
      </c>
      <c r="F2034" s="71" t="s">
        <v>2508</v>
      </c>
      <c r="G2034" s="71" t="s">
        <v>2512</v>
      </c>
      <c r="H2034" s="71" t="s">
        <v>2517</v>
      </c>
      <c r="I2034" s="71" t="s">
        <v>1467</v>
      </c>
      <c r="J2034" s="71" t="s">
        <v>2443</v>
      </c>
    </row>
    <row r="2035" spans="1:10" ht="43.5" x14ac:dyDescent="0.35">
      <c r="A2035">
        <v>15</v>
      </c>
      <c r="B2035">
        <v>17</v>
      </c>
      <c r="C2035" t="s">
        <v>2556</v>
      </c>
      <c r="D2035" s="64">
        <f>VLOOKUP(C2035,'CHAS - Cook Co'!$C$1:$J$2762,2,FALSE) - VLOOKUP(C2035,'CHAS - Chicago'!$C$1:$J$2762,2,FALSE)</f>
        <v>7310</v>
      </c>
      <c r="E2035" t="s">
        <v>366</v>
      </c>
      <c r="F2035" s="71" t="s">
        <v>2510</v>
      </c>
      <c r="G2035" s="71" t="s">
        <v>2512</v>
      </c>
      <c r="H2035" s="71" t="s">
        <v>2517</v>
      </c>
      <c r="I2035" s="71" t="s">
        <v>1467</v>
      </c>
      <c r="J2035" s="71" t="s">
        <v>2443</v>
      </c>
    </row>
    <row r="2036" spans="1:10" ht="43.5" x14ac:dyDescent="0.35">
      <c r="A2036">
        <v>15</v>
      </c>
      <c r="B2036">
        <v>17</v>
      </c>
      <c r="C2036" t="s">
        <v>2555</v>
      </c>
      <c r="D2036" s="64">
        <f>VLOOKUP(C2036,'CHAS - Cook Co'!$C$1:$J$2762,2,FALSE) - VLOOKUP(C2036,'CHAS - Chicago'!$C$1:$J$2762,2,FALSE)</f>
        <v>1265</v>
      </c>
      <c r="E2036" t="s">
        <v>366</v>
      </c>
      <c r="F2036" s="71" t="s">
        <v>508</v>
      </c>
      <c r="G2036" s="71" t="s">
        <v>2512</v>
      </c>
      <c r="H2036" s="71" t="s">
        <v>2456</v>
      </c>
      <c r="I2036" s="71" t="s">
        <v>406</v>
      </c>
      <c r="J2036" s="71" t="s">
        <v>2443</v>
      </c>
    </row>
    <row r="2037" spans="1:10" ht="43.5" x14ac:dyDescent="0.35">
      <c r="A2037">
        <v>15</v>
      </c>
      <c r="B2037">
        <v>18</v>
      </c>
      <c r="C2037" t="s">
        <v>2560</v>
      </c>
      <c r="D2037" s="64">
        <f>VLOOKUP(C2037,'CHAS - Cook Co'!$C$1:$J$2762,2,FALSE) - VLOOKUP(C2037,'CHAS - Chicago'!$C$1:$J$2762,2,FALSE)</f>
        <v>1145</v>
      </c>
      <c r="E2037" t="s">
        <v>373</v>
      </c>
      <c r="F2037" s="71" t="s">
        <v>2508</v>
      </c>
      <c r="G2037" s="71" t="s">
        <v>2512</v>
      </c>
      <c r="H2037" s="71" t="s">
        <v>2517</v>
      </c>
      <c r="I2037" s="71" t="s">
        <v>1467</v>
      </c>
      <c r="J2037" s="71" t="s">
        <v>2460</v>
      </c>
    </row>
    <row r="2038" spans="1:10" ht="43.5" x14ac:dyDescent="0.35">
      <c r="A2038">
        <v>15</v>
      </c>
      <c r="B2038">
        <v>18</v>
      </c>
      <c r="C2038" t="s">
        <v>2559</v>
      </c>
      <c r="D2038" s="64">
        <f>VLOOKUP(C2038,'CHAS - Cook Co'!$C$1:$J$2762,2,FALSE) - VLOOKUP(C2038,'CHAS - Chicago'!$C$1:$J$2762,2,FALSE)</f>
        <v>400</v>
      </c>
      <c r="E2038" t="s">
        <v>373</v>
      </c>
      <c r="F2038" s="71" t="s">
        <v>2510</v>
      </c>
      <c r="G2038" s="71" t="s">
        <v>2512</v>
      </c>
      <c r="H2038" s="71" t="s">
        <v>2517</v>
      </c>
      <c r="I2038" s="71" t="s">
        <v>1467</v>
      </c>
      <c r="J2038" s="71" t="s">
        <v>2460</v>
      </c>
    </row>
    <row r="2039" spans="1:10" ht="43.5" x14ac:dyDescent="0.35">
      <c r="A2039">
        <v>15</v>
      </c>
      <c r="B2039">
        <v>18</v>
      </c>
      <c r="C2039" t="s">
        <v>2558</v>
      </c>
      <c r="D2039" s="64">
        <f>VLOOKUP(C2039,'CHAS - Cook Co'!$C$1:$J$2762,2,FALSE) - VLOOKUP(C2039,'CHAS - Chicago'!$C$1:$J$2762,2,FALSE)</f>
        <v>270</v>
      </c>
      <c r="E2039" t="s">
        <v>373</v>
      </c>
      <c r="F2039" s="71" t="s">
        <v>508</v>
      </c>
      <c r="G2039" s="71" t="s">
        <v>2512</v>
      </c>
      <c r="H2039" s="71" t="s">
        <v>2456</v>
      </c>
      <c r="I2039" s="71" t="s">
        <v>406</v>
      </c>
      <c r="J2039" s="71" t="s">
        <v>2460</v>
      </c>
    </row>
    <row r="2040" spans="1:10" ht="43.5" x14ac:dyDescent="0.35">
      <c r="A2040">
        <v>15</v>
      </c>
      <c r="B2040">
        <v>19</v>
      </c>
      <c r="C2040" t="s">
        <v>2563</v>
      </c>
      <c r="D2040" s="64">
        <f>VLOOKUP(C2040,'CHAS - Cook Co'!$C$1:$J$2762,2,FALSE) - VLOOKUP(C2040,'CHAS - Chicago'!$C$1:$J$2762,2,FALSE)</f>
        <v>5210</v>
      </c>
      <c r="E2040" t="s">
        <v>373</v>
      </c>
      <c r="F2040" s="71" t="s">
        <v>2508</v>
      </c>
      <c r="G2040" s="71" t="s">
        <v>2512</v>
      </c>
      <c r="H2040" s="71" t="s">
        <v>2517</v>
      </c>
      <c r="I2040" s="71" t="s">
        <v>1467</v>
      </c>
      <c r="J2040" s="71" t="s">
        <v>2463</v>
      </c>
    </row>
    <row r="2041" spans="1:10" ht="43.5" x14ac:dyDescent="0.35">
      <c r="A2041">
        <v>15</v>
      </c>
      <c r="B2041">
        <v>19</v>
      </c>
      <c r="C2041" t="s">
        <v>2561</v>
      </c>
      <c r="D2041" s="64">
        <f>VLOOKUP(C2041,'CHAS - Cook Co'!$C$1:$J$2762,2,FALSE) - VLOOKUP(C2041,'CHAS - Chicago'!$C$1:$J$2762,2,FALSE)</f>
        <v>2610</v>
      </c>
      <c r="E2041" t="s">
        <v>373</v>
      </c>
      <c r="F2041" s="71" t="s">
        <v>2510</v>
      </c>
      <c r="G2041" s="71" t="s">
        <v>2512</v>
      </c>
      <c r="H2041" s="71" t="s">
        <v>2517</v>
      </c>
      <c r="I2041" s="71" t="s">
        <v>1467</v>
      </c>
      <c r="J2041" s="71" t="s">
        <v>2463</v>
      </c>
    </row>
    <row r="2042" spans="1:10" ht="43.5" x14ac:dyDescent="0.35">
      <c r="A2042">
        <v>15</v>
      </c>
      <c r="B2042">
        <v>19</v>
      </c>
      <c r="C2042" t="s">
        <v>2562</v>
      </c>
      <c r="D2042" s="64">
        <f>VLOOKUP(C2042,'CHAS - Cook Co'!$C$1:$J$2762,2,FALSE) - VLOOKUP(C2042,'CHAS - Chicago'!$C$1:$J$2762,2,FALSE)</f>
        <v>455</v>
      </c>
      <c r="E2042" t="s">
        <v>373</v>
      </c>
      <c r="F2042" s="71" t="s">
        <v>508</v>
      </c>
      <c r="G2042" s="71" t="s">
        <v>2512</v>
      </c>
      <c r="H2042" s="71" t="s">
        <v>2456</v>
      </c>
      <c r="I2042" s="71" t="s">
        <v>406</v>
      </c>
      <c r="J2042" s="71" t="s">
        <v>2463</v>
      </c>
    </row>
    <row r="2043" spans="1:10" ht="43.5" x14ac:dyDescent="0.35">
      <c r="A2043">
        <v>15</v>
      </c>
      <c r="B2043">
        <v>20</v>
      </c>
      <c r="C2043" t="s">
        <v>2564</v>
      </c>
      <c r="D2043" s="64">
        <f>VLOOKUP(C2043,'CHAS - Cook Co'!$C$1:$J$2762,2,FALSE) - VLOOKUP(C2043,'CHAS - Chicago'!$C$1:$J$2762,2,FALSE)</f>
        <v>11300</v>
      </c>
      <c r="E2043" t="s">
        <v>373</v>
      </c>
      <c r="F2043" s="71" t="s">
        <v>2508</v>
      </c>
      <c r="G2043" s="71" t="s">
        <v>2512</v>
      </c>
      <c r="H2043" s="71" t="s">
        <v>2517</v>
      </c>
      <c r="I2043" s="71" t="s">
        <v>1467</v>
      </c>
      <c r="J2043" s="71" t="s">
        <v>2466</v>
      </c>
    </row>
    <row r="2044" spans="1:10" ht="43.5" x14ac:dyDescent="0.35">
      <c r="A2044">
        <v>15</v>
      </c>
      <c r="B2044">
        <v>20</v>
      </c>
      <c r="C2044" t="s">
        <v>2565</v>
      </c>
      <c r="D2044" s="64">
        <f>VLOOKUP(C2044,'CHAS - Cook Co'!$C$1:$J$2762,2,FALSE) - VLOOKUP(C2044,'CHAS - Chicago'!$C$1:$J$2762,2,FALSE)</f>
        <v>4300</v>
      </c>
      <c r="E2044" t="s">
        <v>373</v>
      </c>
      <c r="F2044" s="71" t="s">
        <v>2510</v>
      </c>
      <c r="G2044" s="71" t="s">
        <v>2512</v>
      </c>
      <c r="H2044" s="71" t="s">
        <v>2517</v>
      </c>
      <c r="I2044" s="71" t="s">
        <v>1467</v>
      </c>
      <c r="J2044" s="71" t="s">
        <v>2466</v>
      </c>
    </row>
    <row r="2045" spans="1:10" ht="43.5" x14ac:dyDescent="0.35">
      <c r="A2045">
        <v>15</v>
      </c>
      <c r="B2045">
        <v>20</v>
      </c>
      <c r="C2045" t="s">
        <v>2566</v>
      </c>
      <c r="D2045" s="64">
        <f>VLOOKUP(C2045,'CHAS - Cook Co'!$C$1:$J$2762,2,FALSE) - VLOOKUP(C2045,'CHAS - Chicago'!$C$1:$J$2762,2,FALSE)</f>
        <v>550</v>
      </c>
      <c r="E2045" t="s">
        <v>373</v>
      </c>
      <c r="F2045" s="71" t="s">
        <v>508</v>
      </c>
      <c r="G2045" s="71" t="s">
        <v>2512</v>
      </c>
      <c r="H2045" s="71" t="s">
        <v>2456</v>
      </c>
      <c r="I2045" s="71" t="s">
        <v>406</v>
      </c>
      <c r="J2045" s="71" t="s">
        <v>2466</v>
      </c>
    </row>
    <row r="2046" spans="1:10" ht="43.5" x14ac:dyDescent="0.35">
      <c r="A2046">
        <v>15</v>
      </c>
      <c r="B2046">
        <v>21</v>
      </c>
      <c r="C2046" t="s">
        <v>2569</v>
      </c>
      <c r="D2046" s="64">
        <f>VLOOKUP(C2046,'CHAS - Cook Co'!$C$1:$J$2762,2,FALSE) - VLOOKUP(C2046,'CHAS - Chicago'!$C$1:$J$2762,2,FALSE)</f>
        <v>46550</v>
      </c>
      <c r="E2046" t="s">
        <v>366</v>
      </c>
      <c r="F2046" s="71" t="s">
        <v>2508</v>
      </c>
      <c r="G2046" s="71" t="s">
        <v>2512</v>
      </c>
      <c r="H2046" s="71" t="s">
        <v>2517</v>
      </c>
      <c r="I2046" s="71" t="s">
        <v>1494</v>
      </c>
      <c r="J2046" s="71" t="s">
        <v>2443</v>
      </c>
    </row>
    <row r="2047" spans="1:10" ht="43.5" x14ac:dyDescent="0.35">
      <c r="A2047">
        <v>15</v>
      </c>
      <c r="B2047">
        <v>21</v>
      </c>
      <c r="C2047" t="s">
        <v>2568</v>
      </c>
      <c r="D2047" s="64">
        <f>VLOOKUP(C2047,'CHAS - Cook Co'!$C$1:$J$2762,2,FALSE) - VLOOKUP(C2047,'CHAS - Chicago'!$C$1:$J$2762,2,FALSE)</f>
        <v>16095</v>
      </c>
      <c r="E2047" t="s">
        <v>366</v>
      </c>
      <c r="F2047" s="71" t="s">
        <v>2510</v>
      </c>
      <c r="G2047" s="71" t="s">
        <v>2512</v>
      </c>
      <c r="H2047" s="71" t="s">
        <v>2517</v>
      </c>
      <c r="I2047" s="71" t="s">
        <v>1494</v>
      </c>
      <c r="J2047" s="71" t="s">
        <v>2443</v>
      </c>
    </row>
    <row r="2048" spans="1:10" ht="29" x14ac:dyDescent="0.35">
      <c r="A2048">
        <v>15</v>
      </c>
      <c r="B2048">
        <v>21</v>
      </c>
      <c r="C2048" t="s">
        <v>2567</v>
      </c>
      <c r="D2048" s="64">
        <f>VLOOKUP(C2048,'CHAS - Cook Co'!$C$1:$J$2762,2,FALSE) - VLOOKUP(C2048,'CHAS - Chicago'!$C$1:$J$2762,2,FALSE)</f>
        <v>3010</v>
      </c>
      <c r="E2048" t="s">
        <v>366</v>
      </c>
      <c r="F2048" s="71" t="s">
        <v>508</v>
      </c>
      <c r="G2048" s="71" t="s">
        <v>2512</v>
      </c>
      <c r="H2048" s="71" t="s">
        <v>2456</v>
      </c>
      <c r="I2048" s="71" t="s">
        <v>415</v>
      </c>
      <c r="J2048" s="71" t="s">
        <v>2443</v>
      </c>
    </row>
    <row r="2049" spans="1:10" ht="43.5" x14ac:dyDescent="0.35">
      <c r="A2049">
        <v>15</v>
      </c>
      <c r="B2049">
        <v>22</v>
      </c>
      <c r="C2049" t="s">
        <v>2571</v>
      </c>
      <c r="D2049" s="64">
        <f>VLOOKUP(C2049,'CHAS - Cook Co'!$C$1:$J$2762,2,FALSE) - VLOOKUP(C2049,'CHAS - Chicago'!$C$1:$J$2762,2,FALSE)</f>
        <v>2295</v>
      </c>
      <c r="E2049" t="s">
        <v>373</v>
      </c>
      <c r="F2049" s="71" t="s">
        <v>2508</v>
      </c>
      <c r="G2049" s="71" t="s">
        <v>2512</v>
      </c>
      <c r="H2049" s="71" t="s">
        <v>2517</v>
      </c>
      <c r="I2049" s="71" t="s">
        <v>1494</v>
      </c>
      <c r="J2049" s="71" t="s">
        <v>2460</v>
      </c>
    </row>
    <row r="2050" spans="1:10" ht="43.5" x14ac:dyDescent="0.35">
      <c r="A2050">
        <v>15</v>
      </c>
      <c r="B2050">
        <v>22</v>
      </c>
      <c r="C2050" t="s">
        <v>2572</v>
      </c>
      <c r="D2050" s="64">
        <f>VLOOKUP(C2050,'CHAS - Cook Co'!$C$1:$J$2762,2,FALSE) - VLOOKUP(C2050,'CHAS - Chicago'!$C$1:$J$2762,2,FALSE)</f>
        <v>875</v>
      </c>
      <c r="E2050" t="s">
        <v>373</v>
      </c>
      <c r="F2050" s="71" t="s">
        <v>2510</v>
      </c>
      <c r="G2050" s="71" t="s">
        <v>2512</v>
      </c>
      <c r="H2050" s="71" t="s">
        <v>2517</v>
      </c>
      <c r="I2050" s="71" t="s">
        <v>1494</v>
      </c>
      <c r="J2050" s="71" t="s">
        <v>2460</v>
      </c>
    </row>
    <row r="2051" spans="1:10" ht="29" x14ac:dyDescent="0.35">
      <c r="A2051">
        <v>15</v>
      </c>
      <c r="B2051">
        <v>22</v>
      </c>
      <c r="C2051" t="s">
        <v>2570</v>
      </c>
      <c r="D2051" s="64">
        <f>VLOOKUP(C2051,'CHAS - Cook Co'!$C$1:$J$2762,2,FALSE) - VLOOKUP(C2051,'CHAS - Chicago'!$C$1:$J$2762,2,FALSE)</f>
        <v>270</v>
      </c>
      <c r="E2051" t="s">
        <v>373</v>
      </c>
      <c r="F2051" s="71" t="s">
        <v>508</v>
      </c>
      <c r="G2051" s="71" t="s">
        <v>2512</v>
      </c>
      <c r="H2051" s="71" t="s">
        <v>2456</v>
      </c>
      <c r="I2051" s="71" t="s">
        <v>415</v>
      </c>
      <c r="J2051" s="71" t="s">
        <v>2460</v>
      </c>
    </row>
    <row r="2052" spans="1:10" ht="43.5" x14ac:dyDescent="0.35">
      <c r="A2052">
        <v>15</v>
      </c>
      <c r="B2052">
        <v>23</v>
      </c>
      <c r="C2052" t="s">
        <v>2573</v>
      </c>
      <c r="D2052" s="64">
        <f>VLOOKUP(C2052,'CHAS - Cook Co'!$C$1:$J$2762,2,FALSE) - VLOOKUP(C2052,'CHAS - Chicago'!$C$1:$J$2762,2,FALSE)</f>
        <v>13025</v>
      </c>
      <c r="E2052" t="s">
        <v>373</v>
      </c>
      <c r="F2052" s="71" t="s">
        <v>2508</v>
      </c>
      <c r="G2052" s="71" t="s">
        <v>2512</v>
      </c>
      <c r="H2052" s="71" t="s">
        <v>2517</v>
      </c>
      <c r="I2052" s="71" t="s">
        <v>1494</v>
      </c>
      <c r="J2052" s="71" t="s">
        <v>2463</v>
      </c>
    </row>
    <row r="2053" spans="1:10" ht="43.5" x14ac:dyDescent="0.35">
      <c r="A2053">
        <v>15</v>
      </c>
      <c r="B2053">
        <v>23</v>
      </c>
      <c r="C2053" t="s">
        <v>2574</v>
      </c>
      <c r="D2053" s="64">
        <f>VLOOKUP(C2053,'CHAS - Cook Co'!$C$1:$J$2762,2,FALSE) - VLOOKUP(C2053,'CHAS - Chicago'!$C$1:$J$2762,2,FALSE)</f>
        <v>5365</v>
      </c>
      <c r="E2053" t="s">
        <v>373</v>
      </c>
      <c r="F2053" s="71" t="s">
        <v>2510</v>
      </c>
      <c r="G2053" s="71" t="s">
        <v>2512</v>
      </c>
      <c r="H2053" s="71" t="s">
        <v>2517</v>
      </c>
      <c r="I2053" s="71" t="s">
        <v>1494</v>
      </c>
      <c r="J2053" s="71" t="s">
        <v>2463</v>
      </c>
    </row>
    <row r="2054" spans="1:10" ht="29" x14ac:dyDescent="0.35">
      <c r="A2054">
        <v>15</v>
      </c>
      <c r="B2054">
        <v>23</v>
      </c>
      <c r="C2054" t="s">
        <v>2575</v>
      </c>
      <c r="D2054" s="64">
        <f>VLOOKUP(C2054,'CHAS - Cook Co'!$C$1:$J$2762,2,FALSE) - VLOOKUP(C2054,'CHAS - Chicago'!$C$1:$J$2762,2,FALSE)</f>
        <v>935</v>
      </c>
      <c r="E2054" t="s">
        <v>373</v>
      </c>
      <c r="F2054" s="71" t="s">
        <v>508</v>
      </c>
      <c r="G2054" s="71" t="s">
        <v>2512</v>
      </c>
      <c r="H2054" s="71" t="s">
        <v>2456</v>
      </c>
      <c r="I2054" s="71" t="s">
        <v>415</v>
      </c>
      <c r="J2054" s="71" t="s">
        <v>2463</v>
      </c>
    </row>
    <row r="2055" spans="1:10" ht="43.5" x14ac:dyDescent="0.35">
      <c r="A2055">
        <v>15</v>
      </c>
      <c r="B2055">
        <v>24</v>
      </c>
      <c r="C2055" t="s">
        <v>2577</v>
      </c>
      <c r="D2055" s="64">
        <f>VLOOKUP(C2055,'CHAS - Cook Co'!$C$1:$J$2762,2,FALSE) - VLOOKUP(C2055,'CHAS - Chicago'!$C$1:$J$2762,2,FALSE)</f>
        <v>31225</v>
      </c>
      <c r="E2055" t="s">
        <v>373</v>
      </c>
      <c r="F2055" s="71" t="s">
        <v>2508</v>
      </c>
      <c r="G2055" s="71" t="s">
        <v>2512</v>
      </c>
      <c r="H2055" s="71" t="s">
        <v>2517</v>
      </c>
      <c r="I2055" s="71" t="s">
        <v>1494</v>
      </c>
      <c r="J2055" s="71" t="s">
        <v>2466</v>
      </c>
    </row>
    <row r="2056" spans="1:10" ht="43.5" x14ac:dyDescent="0.35">
      <c r="A2056">
        <v>15</v>
      </c>
      <c r="B2056">
        <v>24</v>
      </c>
      <c r="C2056" t="s">
        <v>2578</v>
      </c>
      <c r="D2056" s="64">
        <f>VLOOKUP(C2056,'CHAS - Cook Co'!$C$1:$J$2762,2,FALSE) - VLOOKUP(C2056,'CHAS - Chicago'!$C$1:$J$2762,2,FALSE)</f>
        <v>9865</v>
      </c>
      <c r="E2056" t="s">
        <v>373</v>
      </c>
      <c r="F2056" s="71" t="s">
        <v>2510</v>
      </c>
      <c r="G2056" s="71" t="s">
        <v>2512</v>
      </c>
      <c r="H2056" s="71" t="s">
        <v>2517</v>
      </c>
      <c r="I2056" s="71" t="s">
        <v>1494</v>
      </c>
      <c r="J2056" s="71" t="s">
        <v>2466</v>
      </c>
    </row>
    <row r="2057" spans="1:10" ht="29" x14ac:dyDescent="0.35">
      <c r="A2057">
        <v>15</v>
      </c>
      <c r="B2057">
        <v>24</v>
      </c>
      <c r="C2057" t="s">
        <v>2576</v>
      </c>
      <c r="D2057" s="64">
        <f>VLOOKUP(C2057,'CHAS - Cook Co'!$C$1:$J$2762,2,FALSE) - VLOOKUP(C2057,'CHAS - Chicago'!$C$1:$J$2762,2,FALSE)</f>
        <v>1810</v>
      </c>
      <c r="E2057" t="s">
        <v>373</v>
      </c>
      <c r="F2057" s="71" t="s">
        <v>508</v>
      </c>
      <c r="G2057" s="71" t="s">
        <v>2512</v>
      </c>
      <c r="H2057" s="71" t="s">
        <v>2456</v>
      </c>
      <c r="I2057" s="71" t="s">
        <v>415</v>
      </c>
      <c r="J2057" s="71" t="s">
        <v>2466</v>
      </c>
    </row>
    <row r="2058" spans="1:10" ht="29" x14ac:dyDescent="0.35">
      <c r="A2058">
        <v>15</v>
      </c>
      <c r="B2058">
        <v>25</v>
      </c>
      <c r="C2058" t="s">
        <v>2580</v>
      </c>
      <c r="D2058" s="64">
        <f>VLOOKUP(C2058,'CHAS - Cook Co'!$C$1:$J$2762,2,FALSE) - VLOOKUP(C2058,'CHAS - Chicago'!$C$1:$J$2762,2,FALSE)</f>
        <v>126110</v>
      </c>
      <c r="E2058" t="s">
        <v>366</v>
      </c>
      <c r="F2058" s="71" t="s">
        <v>2508</v>
      </c>
      <c r="G2058" s="71" t="s">
        <v>2512</v>
      </c>
      <c r="H2058" s="71" t="s">
        <v>2581</v>
      </c>
      <c r="I2058" s="71" t="s">
        <v>363</v>
      </c>
      <c r="J2058" s="71" t="s">
        <v>2443</v>
      </c>
    </row>
    <row r="2059" spans="1:10" ht="29" x14ac:dyDescent="0.35">
      <c r="A2059">
        <v>15</v>
      </c>
      <c r="B2059">
        <v>25</v>
      </c>
      <c r="C2059" t="s">
        <v>2582</v>
      </c>
      <c r="D2059" s="64">
        <f>VLOOKUP(C2059,'CHAS - Cook Co'!$C$1:$J$2762,2,FALSE) - VLOOKUP(C2059,'CHAS - Chicago'!$C$1:$J$2762,2,FALSE)</f>
        <v>62315</v>
      </c>
      <c r="E2059" t="s">
        <v>366</v>
      </c>
      <c r="F2059" s="71" t="s">
        <v>2510</v>
      </c>
      <c r="G2059" s="71" t="s">
        <v>2512</v>
      </c>
      <c r="H2059" s="71" t="s">
        <v>2581</v>
      </c>
      <c r="I2059" s="71" t="s">
        <v>363</v>
      </c>
      <c r="J2059" s="71" t="s">
        <v>2443</v>
      </c>
    </row>
    <row r="2060" spans="1:10" ht="29" x14ac:dyDescent="0.35">
      <c r="A2060">
        <v>15</v>
      </c>
      <c r="B2060">
        <v>25</v>
      </c>
      <c r="C2060" t="s">
        <v>2579</v>
      </c>
      <c r="D2060" s="64">
        <f>VLOOKUP(C2060,'CHAS - Cook Co'!$C$1:$J$2762,2,FALSE) - VLOOKUP(C2060,'CHAS - Chicago'!$C$1:$J$2762,2,FALSE)</f>
        <v>67770</v>
      </c>
      <c r="E2060" t="s">
        <v>366</v>
      </c>
      <c r="F2060" s="71" t="s">
        <v>508</v>
      </c>
      <c r="G2060" s="71" t="s">
        <v>2512</v>
      </c>
      <c r="H2060" s="71" t="s">
        <v>2469</v>
      </c>
      <c r="I2060" s="71" t="s">
        <v>363</v>
      </c>
      <c r="J2060" s="71" t="s">
        <v>2443</v>
      </c>
    </row>
    <row r="2061" spans="1:10" ht="43.5" x14ac:dyDescent="0.35">
      <c r="A2061">
        <v>15</v>
      </c>
      <c r="B2061">
        <v>26</v>
      </c>
      <c r="C2061" t="s">
        <v>2583</v>
      </c>
      <c r="D2061" s="64">
        <f>VLOOKUP(C2061,'CHAS - Cook Co'!$C$1:$J$2762,2,FALSE) - VLOOKUP(C2061,'CHAS - Chicago'!$C$1:$J$2762,2,FALSE)</f>
        <v>7685</v>
      </c>
      <c r="E2061" t="s">
        <v>366</v>
      </c>
      <c r="F2061" s="71" t="s">
        <v>2508</v>
      </c>
      <c r="G2061" s="71" t="s">
        <v>2512</v>
      </c>
      <c r="H2061" s="71" t="s">
        <v>2581</v>
      </c>
      <c r="I2061" s="71" t="s">
        <v>1377</v>
      </c>
      <c r="J2061" s="71" t="s">
        <v>2443</v>
      </c>
    </row>
    <row r="2062" spans="1:10" ht="43.5" x14ac:dyDescent="0.35">
      <c r="A2062">
        <v>15</v>
      </c>
      <c r="B2062">
        <v>26</v>
      </c>
      <c r="C2062" t="s">
        <v>2585</v>
      </c>
      <c r="D2062" s="64">
        <f>VLOOKUP(C2062,'CHAS - Cook Co'!$C$1:$J$2762,2,FALSE) - VLOOKUP(C2062,'CHAS - Chicago'!$C$1:$J$2762,2,FALSE)</f>
        <v>8085</v>
      </c>
      <c r="E2062" t="s">
        <v>366</v>
      </c>
      <c r="F2062" s="71" t="s">
        <v>2510</v>
      </c>
      <c r="G2062" s="71" t="s">
        <v>2512</v>
      </c>
      <c r="H2062" s="71" t="s">
        <v>2581</v>
      </c>
      <c r="I2062" s="71" t="s">
        <v>1377</v>
      </c>
      <c r="J2062" s="71" t="s">
        <v>2443</v>
      </c>
    </row>
    <row r="2063" spans="1:10" ht="29" x14ac:dyDescent="0.35">
      <c r="A2063">
        <v>15</v>
      </c>
      <c r="B2063">
        <v>26</v>
      </c>
      <c r="C2063" t="s">
        <v>2584</v>
      </c>
      <c r="D2063" s="64">
        <f>VLOOKUP(C2063,'CHAS - Cook Co'!$C$1:$J$2762,2,FALSE) - VLOOKUP(C2063,'CHAS - Chicago'!$C$1:$J$2762,2,FALSE)</f>
        <v>22515</v>
      </c>
      <c r="E2063" t="s">
        <v>366</v>
      </c>
      <c r="F2063" s="71" t="s">
        <v>508</v>
      </c>
      <c r="G2063" s="71" t="s">
        <v>2512</v>
      </c>
      <c r="H2063" s="71" t="s">
        <v>2469</v>
      </c>
      <c r="I2063" s="71" t="s">
        <v>371</v>
      </c>
      <c r="J2063" s="71" t="s">
        <v>2443</v>
      </c>
    </row>
    <row r="2064" spans="1:10" ht="43.5" x14ac:dyDescent="0.35">
      <c r="A2064">
        <v>15</v>
      </c>
      <c r="B2064">
        <v>27</v>
      </c>
      <c r="C2064" t="s">
        <v>2588</v>
      </c>
      <c r="D2064" s="64">
        <f>VLOOKUP(C2064,'CHAS - Cook Co'!$C$1:$J$2762,2,FALSE) - VLOOKUP(C2064,'CHAS - Chicago'!$C$1:$J$2762,2,FALSE)</f>
        <v>370</v>
      </c>
      <c r="E2064" t="s">
        <v>373</v>
      </c>
      <c r="F2064" s="71" t="s">
        <v>2508</v>
      </c>
      <c r="G2064" s="71" t="s">
        <v>2512</v>
      </c>
      <c r="H2064" s="71" t="s">
        <v>2581</v>
      </c>
      <c r="I2064" s="71" t="s">
        <v>1377</v>
      </c>
      <c r="J2064" s="71" t="s">
        <v>2460</v>
      </c>
    </row>
    <row r="2065" spans="1:10" ht="43.5" x14ac:dyDescent="0.35">
      <c r="A2065">
        <v>15</v>
      </c>
      <c r="B2065">
        <v>27</v>
      </c>
      <c r="C2065" t="s">
        <v>2586</v>
      </c>
      <c r="D2065" s="64">
        <f>VLOOKUP(C2065,'CHAS - Cook Co'!$C$1:$J$2762,2,FALSE) - VLOOKUP(C2065,'CHAS - Chicago'!$C$1:$J$2762,2,FALSE)</f>
        <v>395</v>
      </c>
      <c r="E2065" t="s">
        <v>373</v>
      </c>
      <c r="F2065" s="71" t="s">
        <v>2510</v>
      </c>
      <c r="G2065" s="71" t="s">
        <v>2512</v>
      </c>
      <c r="H2065" s="71" t="s">
        <v>2581</v>
      </c>
      <c r="I2065" s="71" t="s">
        <v>1377</v>
      </c>
      <c r="J2065" s="71" t="s">
        <v>2460</v>
      </c>
    </row>
    <row r="2066" spans="1:10" ht="29" x14ac:dyDescent="0.35">
      <c r="A2066">
        <v>15</v>
      </c>
      <c r="B2066">
        <v>27</v>
      </c>
      <c r="C2066" t="s">
        <v>2587</v>
      </c>
      <c r="D2066" s="64">
        <f>VLOOKUP(C2066,'CHAS - Cook Co'!$C$1:$J$2762,2,FALSE) - VLOOKUP(C2066,'CHAS - Chicago'!$C$1:$J$2762,2,FALSE)</f>
        <v>8330</v>
      </c>
      <c r="E2066" t="s">
        <v>373</v>
      </c>
      <c r="F2066" s="71" t="s">
        <v>508</v>
      </c>
      <c r="G2066" s="71" t="s">
        <v>2512</v>
      </c>
      <c r="H2066" s="71" t="s">
        <v>2469</v>
      </c>
      <c r="I2066" s="71" t="s">
        <v>371</v>
      </c>
      <c r="J2066" s="71" t="s">
        <v>2460</v>
      </c>
    </row>
    <row r="2067" spans="1:10" ht="43.5" x14ac:dyDescent="0.35">
      <c r="A2067">
        <v>15</v>
      </c>
      <c r="B2067">
        <v>28</v>
      </c>
      <c r="C2067" t="s">
        <v>2590</v>
      </c>
      <c r="D2067" s="64">
        <f>VLOOKUP(C2067,'CHAS - Cook Co'!$C$1:$J$2762,2,FALSE) - VLOOKUP(C2067,'CHAS - Chicago'!$C$1:$J$2762,2,FALSE)</f>
        <v>2370</v>
      </c>
      <c r="E2067" t="s">
        <v>373</v>
      </c>
      <c r="F2067" s="71" t="s">
        <v>2508</v>
      </c>
      <c r="G2067" s="71" t="s">
        <v>2512</v>
      </c>
      <c r="H2067" s="71" t="s">
        <v>2581</v>
      </c>
      <c r="I2067" s="71" t="s">
        <v>1377</v>
      </c>
      <c r="J2067" s="71" t="s">
        <v>2463</v>
      </c>
    </row>
    <row r="2068" spans="1:10" ht="43.5" x14ac:dyDescent="0.35">
      <c r="A2068">
        <v>15</v>
      </c>
      <c r="B2068">
        <v>28</v>
      </c>
      <c r="C2068" t="s">
        <v>2589</v>
      </c>
      <c r="D2068" s="64">
        <f>VLOOKUP(C2068,'CHAS - Cook Co'!$C$1:$J$2762,2,FALSE) - VLOOKUP(C2068,'CHAS - Chicago'!$C$1:$J$2762,2,FALSE)</f>
        <v>3155</v>
      </c>
      <c r="E2068" t="s">
        <v>373</v>
      </c>
      <c r="F2068" s="71" t="s">
        <v>2510</v>
      </c>
      <c r="G2068" s="71" t="s">
        <v>2512</v>
      </c>
      <c r="H2068" s="71" t="s">
        <v>2581</v>
      </c>
      <c r="I2068" s="71" t="s">
        <v>1377</v>
      </c>
      <c r="J2068" s="71" t="s">
        <v>2463</v>
      </c>
    </row>
    <row r="2069" spans="1:10" ht="29" x14ac:dyDescent="0.35">
      <c r="A2069">
        <v>15</v>
      </c>
      <c r="B2069">
        <v>28</v>
      </c>
      <c r="C2069" t="s">
        <v>2591</v>
      </c>
      <c r="D2069" s="64">
        <f>VLOOKUP(C2069,'CHAS - Cook Co'!$C$1:$J$2762,2,FALSE) - VLOOKUP(C2069,'CHAS - Chicago'!$C$1:$J$2762,2,FALSE)</f>
        <v>9405</v>
      </c>
      <c r="E2069" t="s">
        <v>373</v>
      </c>
      <c r="F2069" s="71" t="s">
        <v>508</v>
      </c>
      <c r="G2069" s="71" t="s">
        <v>2512</v>
      </c>
      <c r="H2069" s="71" t="s">
        <v>2469</v>
      </c>
      <c r="I2069" s="71" t="s">
        <v>371</v>
      </c>
      <c r="J2069" s="71" t="s">
        <v>2463</v>
      </c>
    </row>
    <row r="2070" spans="1:10" ht="43.5" x14ac:dyDescent="0.35">
      <c r="A2070">
        <v>15</v>
      </c>
      <c r="B2070">
        <v>29</v>
      </c>
      <c r="C2070" t="s">
        <v>2593</v>
      </c>
      <c r="D2070" s="64">
        <f>VLOOKUP(C2070,'CHAS - Cook Co'!$C$1:$J$2762,2,FALSE) - VLOOKUP(C2070,'CHAS - Chicago'!$C$1:$J$2762,2,FALSE)</f>
        <v>4945</v>
      </c>
      <c r="E2070" t="s">
        <v>373</v>
      </c>
      <c r="F2070" s="71" t="s">
        <v>2508</v>
      </c>
      <c r="G2070" s="71" t="s">
        <v>2512</v>
      </c>
      <c r="H2070" s="71" t="s">
        <v>2581</v>
      </c>
      <c r="I2070" s="71" t="s">
        <v>1377</v>
      </c>
      <c r="J2070" s="71" t="s">
        <v>2466</v>
      </c>
    </row>
    <row r="2071" spans="1:10" ht="43.5" x14ac:dyDescent="0.35">
      <c r="A2071">
        <v>15</v>
      </c>
      <c r="B2071">
        <v>29</v>
      </c>
      <c r="C2071" t="s">
        <v>2592</v>
      </c>
      <c r="D2071" s="64">
        <f>VLOOKUP(C2071,'CHAS - Cook Co'!$C$1:$J$2762,2,FALSE) - VLOOKUP(C2071,'CHAS - Chicago'!$C$1:$J$2762,2,FALSE)</f>
        <v>4535</v>
      </c>
      <c r="E2071" t="s">
        <v>373</v>
      </c>
      <c r="F2071" s="71" t="s">
        <v>2510</v>
      </c>
      <c r="G2071" s="71" t="s">
        <v>2512</v>
      </c>
      <c r="H2071" s="71" t="s">
        <v>2581</v>
      </c>
      <c r="I2071" s="71" t="s">
        <v>1377</v>
      </c>
      <c r="J2071" s="71" t="s">
        <v>2466</v>
      </c>
    </row>
    <row r="2072" spans="1:10" ht="29" x14ac:dyDescent="0.35">
      <c r="A2072">
        <v>15</v>
      </c>
      <c r="B2072">
        <v>29</v>
      </c>
      <c r="C2072" t="s">
        <v>2594</v>
      </c>
      <c r="D2072" s="64">
        <f>VLOOKUP(C2072,'CHAS - Cook Co'!$C$1:$J$2762,2,FALSE) - VLOOKUP(C2072,'CHAS - Chicago'!$C$1:$J$2762,2,FALSE)</f>
        <v>4780</v>
      </c>
      <c r="E2072" t="s">
        <v>373</v>
      </c>
      <c r="F2072" s="71" t="s">
        <v>508</v>
      </c>
      <c r="G2072" s="71" t="s">
        <v>2512</v>
      </c>
      <c r="H2072" s="71" t="s">
        <v>2469</v>
      </c>
      <c r="I2072" s="71" t="s">
        <v>371</v>
      </c>
      <c r="J2072" s="71" t="s">
        <v>2466</v>
      </c>
    </row>
    <row r="2073" spans="1:10" ht="43.5" x14ac:dyDescent="0.35">
      <c r="A2073">
        <v>15</v>
      </c>
      <c r="B2073">
        <v>30</v>
      </c>
      <c r="C2073" t="s">
        <v>2595</v>
      </c>
      <c r="D2073" s="64">
        <f>VLOOKUP(C2073,'CHAS - Cook Co'!$C$1:$J$2762,2,FALSE) - VLOOKUP(C2073,'CHAS - Chicago'!$C$1:$J$2762,2,FALSE)</f>
        <v>10295</v>
      </c>
      <c r="E2073" t="s">
        <v>366</v>
      </c>
      <c r="F2073" s="71" t="s">
        <v>2508</v>
      </c>
      <c r="G2073" s="71" t="s">
        <v>2512</v>
      </c>
      <c r="H2073" s="71" t="s">
        <v>2581</v>
      </c>
      <c r="I2073" s="71" t="s">
        <v>1413</v>
      </c>
      <c r="J2073" s="71" t="s">
        <v>2443</v>
      </c>
    </row>
    <row r="2074" spans="1:10" ht="43.5" x14ac:dyDescent="0.35">
      <c r="A2074">
        <v>15</v>
      </c>
      <c r="B2074">
        <v>30</v>
      </c>
      <c r="C2074" t="s">
        <v>2596</v>
      </c>
      <c r="D2074" s="64">
        <f>VLOOKUP(C2074,'CHAS - Cook Co'!$C$1:$J$2762,2,FALSE) - VLOOKUP(C2074,'CHAS - Chicago'!$C$1:$J$2762,2,FALSE)</f>
        <v>10875</v>
      </c>
      <c r="E2074" t="s">
        <v>366</v>
      </c>
      <c r="F2074" s="71" t="s">
        <v>2510</v>
      </c>
      <c r="G2074" s="71" t="s">
        <v>2512</v>
      </c>
      <c r="H2074" s="71" t="s">
        <v>2581</v>
      </c>
      <c r="I2074" s="71" t="s">
        <v>1413</v>
      </c>
      <c r="J2074" s="71" t="s">
        <v>2443</v>
      </c>
    </row>
    <row r="2075" spans="1:10" ht="43.5" x14ac:dyDescent="0.35">
      <c r="A2075">
        <v>15</v>
      </c>
      <c r="B2075">
        <v>30</v>
      </c>
      <c r="C2075" t="s">
        <v>2597</v>
      </c>
      <c r="D2075" s="64">
        <f>VLOOKUP(C2075,'CHAS - Cook Co'!$C$1:$J$2762,2,FALSE) - VLOOKUP(C2075,'CHAS - Chicago'!$C$1:$J$2762,2,FALSE)</f>
        <v>16755</v>
      </c>
      <c r="E2075" t="s">
        <v>366</v>
      </c>
      <c r="F2075" s="71" t="s">
        <v>508</v>
      </c>
      <c r="G2075" s="71" t="s">
        <v>2512</v>
      </c>
      <c r="H2075" s="71" t="s">
        <v>2469</v>
      </c>
      <c r="I2075" s="71" t="s">
        <v>388</v>
      </c>
      <c r="J2075" s="71" t="s">
        <v>2443</v>
      </c>
    </row>
    <row r="2076" spans="1:10" ht="43.5" x14ac:dyDescent="0.35">
      <c r="A2076">
        <v>15</v>
      </c>
      <c r="B2076">
        <v>31</v>
      </c>
      <c r="C2076" t="s">
        <v>2600</v>
      </c>
      <c r="D2076" s="64">
        <f>VLOOKUP(C2076,'CHAS - Cook Co'!$C$1:$J$2762,2,FALSE) - VLOOKUP(C2076,'CHAS - Chicago'!$C$1:$J$2762,2,FALSE)</f>
        <v>275</v>
      </c>
      <c r="E2076" t="s">
        <v>373</v>
      </c>
      <c r="F2076" s="71" t="s">
        <v>2508</v>
      </c>
      <c r="G2076" s="71" t="s">
        <v>2512</v>
      </c>
      <c r="H2076" s="71" t="s">
        <v>2581</v>
      </c>
      <c r="I2076" s="71" t="s">
        <v>1413</v>
      </c>
      <c r="J2076" s="71" t="s">
        <v>2460</v>
      </c>
    </row>
    <row r="2077" spans="1:10" ht="43.5" x14ac:dyDescent="0.35">
      <c r="A2077">
        <v>15</v>
      </c>
      <c r="B2077">
        <v>31</v>
      </c>
      <c r="C2077" t="s">
        <v>2598</v>
      </c>
      <c r="D2077" s="64">
        <f>VLOOKUP(C2077,'CHAS - Cook Co'!$C$1:$J$2762,2,FALSE) - VLOOKUP(C2077,'CHAS - Chicago'!$C$1:$J$2762,2,FALSE)</f>
        <v>365</v>
      </c>
      <c r="E2077" t="s">
        <v>373</v>
      </c>
      <c r="F2077" s="71" t="s">
        <v>2510</v>
      </c>
      <c r="G2077" s="71" t="s">
        <v>2512</v>
      </c>
      <c r="H2077" s="71" t="s">
        <v>2581</v>
      </c>
      <c r="I2077" s="71" t="s">
        <v>1413</v>
      </c>
      <c r="J2077" s="71" t="s">
        <v>2460</v>
      </c>
    </row>
    <row r="2078" spans="1:10" ht="43.5" x14ac:dyDescent="0.35">
      <c r="A2078">
        <v>15</v>
      </c>
      <c r="B2078">
        <v>31</v>
      </c>
      <c r="C2078" t="s">
        <v>2599</v>
      </c>
      <c r="D2078" s="64">
        <f>VLOOKUP(C2078,'CHAS - Cook Co'!$C$1:$J$2762,2,FALSE) - VLOOKUP(C2078,'CHAS - Chicago'!$C$1:$J$2762,2,FALSE)</f>
        <v>5470</v>
      </c>
      <c r="E2078" t="s">
        <v>373</v>
      </c>
      <c r="F2078" s="71" t="s">
        <v>508</v>
      </c>
      <c r="G2078" s="71" t="s">
        <v>2512</v>
      </c>
      <c r="H2078" s="71" t="s">
        <v>2469</v>
      </c>
      <c r="I2078" s="71" t="s">
        <v>388</v>
      </c>
      <c r="J2078" s="71" t="s">
        <v>2460</v>
      </c>
    </row>
    <row r="2079" spans="1:10" ht="43.5" x14ac:dyDescent="0.35">
      <c r="A2079">
        <v>15</v>
      </c>
      <c r="B2079">
        <v>32</v>
      </c>
      <c r="C2079" t="s">
        <v>2601</v>
      </c>
      <c r="D2079" s="64">
        <f>VLOOKUP(C2079,'CHAS - Cook Co'!$C$1:$J$2762,2,FALSE) - VLOOKUP(C2079,'CHAS - Chicago'!$C$1:$J$2762,2,FALSE)</f>
        <v>2795</v>
      </c>
      <c r="E2079" t="s">
        <v>373</v>
      </c>
      <c r="F2079" s="71" t="s">
        <v>2508</v>
      </c>
      <c r="G2079" s="71" t="s">
        <v>2512</v>
      </c>
      <c r="H2079" s="71" t="s">
        <v>2581</v>
      </c>
      <c r="I2079" s="71" t="s">
        <v>1413</v>
      </c>
      <c r="J2079" s="71" t="s">
        <v>2463</v>
      </c>
    </row>
    <row r="2080" spans="1:10" ht="43.5" x14ac:dyDescent="0.35">
      <c r="A2080">
        <v>15</v>
      </c>
      <c r="B2080">
        <v>32</v>
      </c>
      <c r="C2080" t="s">
        <v>2602</v>
      </c>
      <c r="D2080" s="64">
        <f>VLOOKUP(C2080,'CHAS - Cook Co'!$C$1:$J$2762,2,FALSE) - VLOOKUP(C2080,'CHAS - Chicago'!$C$1:$J$2762,2,FALSE)</f>
        <v>4080</v>
      </c>
      <c r="E2080" t="s">
        <v>373</v>
      </c>
      <c r="F2080" s="71" t="s">
        <v>2510</v>
      </c>
      <c r="G2080" s="71" t="s">
        <v>2512</v>
      </c>
      <c r="H2080" s="71" t="s">
        <v>2581</v>
      </c>
      <c r="I2080" s="71" t="s">
        <v>1413</v>
      </c>
      <c r="J2080" s="71" t="s">
        <v>2463</v>
      </c>
    </row>
    <row r="2081" spans="1:10" ht="43.5" x14ac:dyDescent="0.35">
      <c r="A2081">
        <v>15</v>
      </c>
      <c r="B2081">
        <v>32</v>
      </c>
      <c r="C2081" t="s">
        <v>2603</v>
      </c>
      <c r="D2081" s="64">
        <f>VLOOKUP(C2081,'CHAS - Cook Co'!$C$1:$J$2762,2,FALSE) - VLOOKUP(C2081,'CHAS - Chicago'!$C$1:$J$2762,2,FALSE)</f>
        <v>7260</v>
      </c>
      <c r="E2081" t="s">
        <v>373</v>
      </c>
      <c r="F2081" s="71" t="s">
        <v>508</v>
      </c>
      <c r="G2081" s="71" t="s">
        <v>2512</v>
      </c>
      <c r="H2081" s="71" t="s">
        <v>2469</v>
      </c>
      <c r="I2081" s="71" t="s">
        <v>388</v>
      </c>
      <c r="J2081" s="71" t="s">
        <v>2463</v>
      </c>
    </row>
    <row r="2082" spans="1:10" ht="43.5" x14ac:dyDescent="0.35">
      <c r="A2082">
        <v>15</v>
      </c>
      <c r="B2082">
        <v>33</v>
      </c>
      <c r="C2082" t="s">
        <v>2605</v>
      </c>
      <c r="D2082" s="64">
        <f>VLOOKUP(C2082,'CHAS - Cook Co'!$C$1:$J$2762,2,FALSE) - VLOOKUP(C2082,'CHAS - Chicago'!$C$1:$J$2762,2,FALSE)</f>
        <v>7225</v>
      </c>
      <c r="E2082" t="s">
        <v>373</v>
      </c>
      <c r="F2082" s="71" t="s">
        <v>2508</v>
      </c>
      <c r="G2082" s="71" t="s">
        <v>2512</v>
      </c>
      <c r="H2082" s="71" t="s">
        <v>2581</v>
      </c>
      <c r="I2082" s="71" t="s">
        <v>1413</v>
      </c>
      <c r="J2082" s="71" t="s">
        <v>2466</v>
      </c>
    </row>
    <row r="2083" spans="1:10" ht="43.5" x14ac:dyDescent="0.35">
      <c r="A2083">
        <v>15</v>
      </c>
      <c r="B2083">
        <v>33</v>
      </c>
      <c r="C2083" t="s">
        <v>2606</v>
      </c>
      <c r="D2083" s="64">
        <f>VLOOKUP(C2083,'CHAS - Cook Co'!$C$1:$J$2762,2,FALSE) - VLOOKUP(C2083,'CHAS - Chicago'!$C$1:$J$2762,2,FALSE)</f>
        <v>6430</v>
      </c>
      <c r="E2083" t="s">
        <v>373</v>
      </c>
      <c r="F2083" s="71" t="s">
        <v>2510</v>
      </c>
      <c r="G2083" s="71" t="s">
        <v>2512</v>
      </c>
      <c r="H2083" s="71" t="s">
        <v>2581</v>
      </c>
      <c r="I2083" s="71" t="s">
        <v>1413</v>
      </c>
      <c r="J2083" s="71" t="s">
        <v>2466</v>
      </c>
    </row>
    <row r="2084" spans="1:10" ht="43.5" x14ac:dyDescent="0.35">
      <c r="A2084">
        <v>15</v>
      </c>
      <c r="B2084">
        <v>33</v>
      </c>
      <c r="C2084" t="s">
        <v>2604</v>
      </c>
      <c r="D2084" s="64">
        <f>VLOOKUP(C2084,'CHAS - Cook Co'!$C$1:$J$2762,2,FALSE) - VLOOKUP(C2084,'CHAS - Chicago'!$C$1:$J$2762,2,FALSE)</f>
        <v>4025</v>
      </c>
      <c r="E2084" t="s">
        <v>373</v>
      </c>
      <c r="F2084" s="71" t="s">
        <v>508</v>
      </c>
      <c r="G2084" s="71" t="s">
        <v>2512</v>
      </c>
      <c r="H2084" s="71" t="s">
        <v>2469</v>
      </c>
      <c r="I2084" s="71" t="s">
        <v>388</v>
      </c>
      <c r="J2084" s="71" t="s">
        <v>2466</v>
      </c>
    </row>
    <row r="2085" spans="1:10" ht="43.5" x14ac:dyDescent="0.35">
      <c r="A2085">
        <v>15</v>
      </c>
      <c r="B2085">
        <v>34</v>
      </c>
      <c r="C2085" t="s">
        <v>2608</v>
      </c>
      <c r="D2085" s="64">
        <f>VLOOKUP(C2085,'CHAS - Cook Co'!$C$1:$J$2762,2,FALSE) - VLOOKUP(C2085,'CHAS - Chicago'!$C$1:$J$2762,2,FALSE)</f>
        <v>20890</v>
      </c>
      <c r="E2085" t="s">
        <v>366</v>
      </c>
      <c r="F2085" s="71" t="s">
        <v>2508</v>
      </c>
      <c r="G2085" s="71" t="s">
        <v>2512</v>
      </c>
      <c r="H2085" s="71" t="s">
        <v>2581</v>
      </c>
      <c r="I2085" s="71" t="s">
        <v>1440</v>
      </c>
      <c r="J2085" s="71" t="s">
        <v>2443</v>
      </c>
    </row>
    <row r="2086" spans="1:10" ht="43.5" x14ac:dyDescent="0.35">
      <c r="A2086">
        <v>15</v>
      </c>
      <c r="B2086">
        <v>34</v>
      </c>
      <c r="C2086" t="s">
        <v>2607</v>
      </c>
      <c r="D2086" s="64">
        <f>VLOOKUP(C2086,'CHAS - Cook Co'!$C$1:$J$2762,2,FALSE) - VLOOKUP(C2086,'CHAS - Chicago'!$C$1:$J$2762,2,FALSE)</f>
        <v>13285</v>
      </c>
      <c r="E2086" t="s">
        <v>366</v>
      </c>
      <c r="F2086" s="71" t="s">
        <v>2510</v>
      </c>
      <c r="G2086" s="71" t="s">
        <v>2512</v>
      </c>
      <c r="H2086" s="71" t="s">
        <v>2581</v>
      </c>
      <c r="I2086" s="71" t="s">
        <v>1440</v>
      </c>
      <c r="J2086" s="71" t="s">
        <v>2443</v>
      </c>
    </row>
    <row r="2087" spans="1:10" ht="43.5" x14ac:dyDescent="0.35">
      <c r="A2087">
        <v>15</v>
      </c>
      <c r="B2087">
        <v>34</v>
      </c>
      <c r="C2087" t="s">
        <v>2609</v>
      </c>
      <c r="D2087" s="64">
        <f>VLOOKUP(C2087,'CHAS - Cook Co'!$C$1:$J$2762,2,FALSE) - VLOOKUP(C2087,'CHAS - Chicago'!$C$1:$J$2762,2,FALSE)</f>
        <v>15150</v>
      </c>
      <c r="E2087" t="s">
        <v>366</v>
      </c>
      <c r="F2087" s="71" t="s">
        <v>508</v>
      </c>
      <c r="G2087" s="71" t="s">
        <v>2512</v>
      </c>
      <c r="H2087" s="71" t="s">
        <v>2469</v>
      </c>
      <c r="I2087" s="71" t="s">
        <v>397</v>
      </c>
      <c r="J2087" s="71" t="s">
        <v>2443</v>
      </c>
    </row>
    <row r="2088" spans="1:10" ht="43.5" x14ac:dyDescent="0.35">
      <c r="A2088">
        <v>15</v>
      </c>
      <c r="B2088">
        <v>35</v>
      </c>
      <c r="C2088" t="s">
        <v>2610</v>
      </c>
      <c r="D2088" s="64">
        <f>VLOOKUP(C2088,'CHAS - Cook Co'!$C$1:$J$2762,2,FALSE) - VLOOKUP(C2088,'CHAS - Chicago'!$C$1:$J$2762,2,FALSE)</f>
        <v>605</v>
      </c>
      <c r="E2088" t="s">
        <v>373</v>
      </c>
      <c r="F2088" s="71" t="s">
        <v>2508</v>
      </c>
      <c r="G2088" s="71" t="s">
        <v>2512</v>
      </c>
      <c r="H2088" s="71" t="s">
        <v>2581</v>
      </c>
      <c r="I2088" s="71" t="s">
        <v>1440</v>
      </c>
      <c r="J2088" s="71" t="s">
        <v>2460</v>
      </c>
    </row>
    <row r="2089" spans="1:10" ht="43.5" x14ac:dyDescent="0.35">
      <c r="A2089">
        <v>15</v>
      </c>
      <c r="B2089">
        <v>35</v>
      </c>
      <c r="C2089" t="s">
        <v>2612</v>
      </c>
      <c r="D2089" s="64">
        <f>VLOOKUP(C2089,'CHAS - Cook Co'!$C$1:$J$2762,2,FALSE) - VLOOKUP(C2089,'CHAS - Chicago'!$C$1:$J$2762,2,FALSE)</f>
        <v>350</v>
      </c>
      <c r="E2089" t="s">
        <v>373</v>
      </c>
      <c r="F2089" s="71" t="s">
        <v>2510</v>
      </c>
      <c r="G2089" s="71" t="s">
        <v>2512</v>
      </c>
      <c r="H2089" s="71" t="s">
        <v>2581</v>
      </c>
      <c r="I2089" s="71" t="s">
        <v>1440</v>
      </c>
      <c r="J2089" s="71" t="s">
        <v>2460</v>
      </c>
    </row>
    <row r="2090" spans="1:10" ht="43.5" x14ac:dyDescent="0.35">
      <c r="A2090">
        <v>15</v>
      </c>
      <c r="B2090">
        <v>35</v>
      </c>
      <c r="C2090" t="s">
        <v>2611</v>
      </c>
      <c r="D2090" s="64">
        <f>VLOOKUP(C2090,'CHAS - Cook Co'!$C$1:$J$2762,2,FALSE) - VLOOKUP(C2090,'CHAS - Chicago'!$C$1:$J$2762,2,FALSE)</f>
        <v>4760</v>
      </c>
      <c r="E2090" t="s">
        <v>373</v>
      </c>
      <c r="F2090" s="71" t="s">
        <v>508</v>
      </c>
      <c r="G2090" s="71" t="s">
        <v>2512</v>
      </c>
      <c r="H2090" s="71" t="s">
        <v>2469</v>
      </c>
      <c r="I2090" s="71" t="s">
        <v>397</v>
      </c>
      <c r="J2090" s="71" t="s">
        <v>2460</v>
      </c>
    </row>
    <row r="2091" spans="1:10" ht="43.5" x14ac:dyDescent="0.35">
      <c r="A2091">
        <v>15</v>
      </c>
      <c r="B2091">
        <v>36</v>
      </c>
      <c r="C2091" t="s">
        <v>2613</v>
      </c>
      <c r="D2091" s="64">
        <f>VLOOKUP(C2091,'CHAS - Cook Co'!$C$1:$J$2762,2,FALSE) - VLOOKUP(C2091,'CHAS - Chicago'!$C$1:$J$2762,2,FALSE)</f>
        <v>5825</v>
      </c>
      <c r="E2091" t="s">
        <v>373</v>
      </c>
      <c r="F2091" s="71" t="s">
        <v>2508</v>
      </c>
      <c r="G2091" s="71" t="s">
        <v>2512</v>
      </c>
      <c r="H2091" s="71" t="s">
        <v>2581</v>
      </c>
      <c r="I2091" s="71" t="s">
        <v>1440</v>
      </c>
      <c r="J2091" s="71" t="s">
        <v>2463</v>
      </c>
    </row>
    <row r="2092" spans="1:10" ht="43.5" x14ac:dyDescent="0.35">
      <c r="A2092">
        <v>15</v>
      </c>
      <c r="B2092">
        <v>36</v>
      </c>
      <c r="C2092" t="s">
        <v>2614</v>
      </c>
      <c r="D2092" s="64">
        <f>VLOOKUP(C2092,'CHAS - Cook Co'!$C$1:$J$2762,2,FALSE) - VLOOKUP(C2092,'CHAS - Chicago'!$C$1:$J$2762,2,FALSE)</f>
        <v>3965</v>
      </c>
      <c r="E2092" t="s">
        <v>373</v>
      </c>
      <c r="F2092" s="71" t="s">
        <v>2510</v>
      </c>
      <c r="G2092" s="71" t="s">
        <v>2512</v>
      </c>
      <c r="H2092" s="71" t="s">
        <v>2581</v>
      </c>
      <c r="I2092" s="71" t="s">
        <v>1440</v>
      </c>
      <c r="J2092" s="71" t="s">
        <v>2463</v>
      </c>
    </row>
    <row r="2093" spans="1:10" ht="43.5" x14ac:dyDescent="0.35">
      <c r="A2093">
        <v>15</v>
      </c>
      <c r="B2093">
        <v>36</v>
      </c>
      <c r="C2093" t="s">
        <v>2615</v>
      </c>
      <c r="D2093" s="64">
        <f>VLOOKUP(C2093,'CHAS - Cook Co'!$C$1:$J$2762,2,FALSE) - VLOOKUP(C2093,'CHAS - Chicago'!$C$1:$J$2762,2,FALSE)</f>
        <v>7015</v>
      </c>
      <c r="E2093" t="s">
        <v>373</v>
      </c>
      <c r="F2093" s="71" t="s">
        <v>508</v>
      </c>
      <c r="G2093" s="71" t="s">
        <v>2512</v>
      </c>
      <c r="H2093" s="71" t="s">
        <v>2469</v>
      </c>
      <c r="I2093" s="71" t="s">
        <v>397</v>
      </c>
      <c r="J2093" s="71" t="s">
        <v>2463</v>
      </c>
    </row>
    <row r="2094" spans="1:10" ht="43.5" x14ac:dyDescent="0.35">
      <c r="A2094">
        <v>15</v>
      </c>
      <c r="B2094">
        <v>37</v>
      </c>
      <c r="C2094" t="s">
        <v>2616</v>
      </c>
      <c r="D2094" s="64">
        <f>VLOOKUP(C2094,'CHAS - Cook Co'!$C$1:$J$2762,2,FALSE) - VLOOKUP(C2094,'CHAS - Chicago'!$C$1:$J$2762,2,FALSE)</f>
        <v>14465</v>
      </c>
      <c r="E2094" t="s">
        <v>373</v>
      </c>
      <c r="F2094" s="71" t="s">
        <v>2508</v>
      </c>
      <c r="G2094" s="71" t="s">
        <v>2512</v>
      </c>
      <c r="H2094" s="71" t="s">
        <v>2581</v>
      </c>
      <c r="I2094" s="71" t="s">
        <v>1440</v>
      </c>
      <c r="J2094" s="71" t="s">
        <v>2466</v>
      </c>
    </row>
    <row r="2095" spans="1:10" ht="43.5" x14ac:dyDescent="0.35">
      <c r="A2095">
        <v>15</v>
      </c>
      <c r="B2095">
        <v>37</v>
      </c>
      <c r="C2095" t="s">
        <v>2618</v>
      </c>
      <c r="D2095" s="64">
        <f>VLOOKUP(C2095,'CHAS - Cook Co'!$C$1:$J$2762,2,FALSE) - VLOOKUP(C2095,'CHAS - Chicago'!$C$1:$J$2762,2,FALSE)</f>
        <v>8975</v>
      </c>
      <c r="E2095" t="s">
        <v>373</v>
      </c>
      <c r="F2095" s="71" t="s">
        <v>2510</v>
      </c>
      <c r="G2095" s="71" t="s">
        <v>2512</v>
      </c>
      <c r="H2095" s="71" t="s">
        <v>2581</v>
      </c>
      <c r="I2095" s="71" t="s">
        <v>1440</v>
      </c>
      <c r="J2095" s="71" t="s">
        <v>2466</v>
      </c>
    </row>
    <row r="2096" spans="1:10" ht="43.5" x14ac:dyDescent="0.35">
      <c r="A2096">
        <v>15</v>
      </c>
      <c r="B2096">
        <v>37</v>
      </c>
      <c r="C2096" t="s">
        <v>2617</v>
      </c>
      <c r="D2096" s="64">
        <f>VLOOKUP(C2096,'CHAS - Cook Co'!$C$1:$J$2762,2,FALSE) - VLOOKUP(C2096,'CHAS - Chicago'!$C$1:$J$2762,2,FALSE)</f>
        <v>3380</v>
      </c>
      <c r="E2096" t="s">
        <v>373</v>
      </c>
      <c r="F2096" s="71" t="s">
        <v>508</v>
      </c>
      <c r="G2096" s="71" t="s">
        <v>2512</v>
      </c>
      <c r="H2096" s="71" t="s">
        <v>2469</v>
      </c>
      <c r="I2096" s="71" t="s">
        <v>397</v>
      </c>
      <c r="J2096" s="71" t="s">
        <v>2466</v>
      </c>
    </row>
    <row r="2097" spans="1:10" ht="43.5" x14ac:dyDescent="0.35">
      <c r="A2097">
        <v>15</v>
      </c>
      <c r="B2097">
        <v>38</v>
      </c>
      <c r="C2097" t="s">
        <v>2619</v>
      </c>
      <c r="D2097" s="64">
        <f>VLOOKUP(C2097,'CHAS - Cook Co'!$C$1:$J$2762,2,FALSE) - VLOOKUP(C2097,'CHAS - Chicago'!$C$1:$J$2762,2,FALSE)</f>
        <v>15790</v>
      </c>
      <c r="E2097" t="s">
        <v>366</v>
      </c>
      <c r="F2097" s="71" t="s">
        <v>2508</v>
      </c>
      <c r="G2097" s="71" t="s">
        <v>2512</v>
      </c>
      <c r="H2097" s="71" t="s">
        <v>2581</v>
      </c>
      <c r="I2097" s="71" t="s">
        <v>1467</v>
      </c>
      <c r="J2097" s="71" t="s">
        <v>2443</v>
      </c>
    </row>
    <row r="2098" spans="1:10" ht="43.5" x14ac:dyDescent="0.35">
      <c r="A2098">
        <v>15</v>
      </c>
      <c r="B2098">
        <v>38</v>
      </c>
      <c r="C2098" t="s">
        <v>2621</v>
      </c>
      <c r="D2098" s="64">
        <f>VLOOKUP(C2098,'CHAS - Cook Co'!$C$1:$J$2762,2,FALSE) - VLOOKUP(C2098,'CHAS - Chicago'!$C$1:$J$2762,2,FALSE)</f>
        <v>7345</v>
      </c>
      <c r="E2098" t="s">
        <v>366</v>
      </c>
      <c r="F2098" s="71" t="s">
        <v>2510</v>
      </c>
      <c r="G2098" s="71" t="s">
        <v>2512</v>
      </c>
      <c r="H2098" s="71" t="s">
        <v>2581</v>
      </c>
      <c r="I2098" s="71" t="s">
        <v>1467</v>
      </c>
      <c r="J2098" s="71" t="s">
        <v>2443</v>
      </c>
    </row>
    <row r="2099" spans="1:10" ht="43.5" x14ac:dyDescent="0.35">
      <c r="A2099">
        <v>15</v>
      </c>
      <c r="B2099">
        <v>38</v>
      </c>
      <c r="C2099" t="s">
        <v>2620</v>
      </c>
      <c r="D2099" s="64">
        <f>VLOOKUP(C2099,'CHAS - Cook Co'!$C$1:$J$2762,2,FALSE) - VLOOKUP(C2099,'CHAS - Chicago'!$C$1:$J$2762,2,FALSE)</f>
        <v>5885</v>
      </c>
      <c r="E2099" t="s">
        <v>366</v>
      </c>
      <c r="F2099" s="71" t="s">
        <v>508</v>
      </c>
      <c r="G2099" s="71" t="s">
        <v>2512</v>
      </c>
      <c r="H2099" s="71" t="s">
        <v>2469</v>
      </c>
      <c r="I2099" s="71" t="s">
        <v>406</v>
      </c>
      <c r="J2099" s="71" t="s">
        <v>2443</v>
      </c>
    </row>
    <row r="2100" spans="1:10" ht="43.5" x14ac:dyDescent="0.35">
      <c r="A2100">
        <v>15</v>
      </c>
      <c r="B2100">
        <v>39</v>
      </c>
      <c r="C2100" t="s">
        <v>2623</v>
      </c>
      <c r="D2100" s="64">
        <f>VLOOKUP(C2100,'CHAS - Cook Co'!$C$1:$J$2762,2,FALSE) - VLOOKUP(C2100,'CHAS - Chicago'!$C$1:$J$2762,2,FALSE)</f>
        <v>390</v>
      </c>
      <c r="E2100" t="s">
        <v>373</v>
      </c>
      <c r="F2100" s="71" t="s">
        <v>2508</v>
      </c>
      <c r="G2100" s="71" t="s">
        <v>2512</v>
      </c>
      <c r="H2100" s="71" t="s">
        <v>2581</v>
      </c>
      <c r="I2100" s="71" t="s">
        <v>1467</v>
      </c>
      <c r="J2100" s="71" t="s">
        <v>2460</v>
      </c>
    </row>
    <row r="2101" spans="1:10" ht="43.5" x14ac:dyDescent="0.35">
      <c r="A2101">
        <v>15</v>
      </c>
      <c r="B2101">
        <v>39</v>
      </c>
      <c r="C2101" t="s">
        <v>2624</v>
      </c>
      <c r="D2101" s="64">
        <f>VLOOKUP(C2101,'CHAS - Cook Co'!$C$1:$J$2762,2,FALSE) - VLOOKUP(C2101,'CHAS - Chicago'!$C$1:$J$2762,2,FALSE)</f>
        <v>135</v>
      </c>
      <c r="E2101" t="s">
        <v>373</v>
      </c>
      <c r="F2101" s="71" t="s">
        <v>2510</v>
      </c>
      <c r="G2101" s="71" t="s">
        <v>2512</v>
      </c>
      <c r="H2101" s="71" t="s">
        <v>2581</v>
      </c>
      <c r="I2101" s="71" t="s">
        <v>1467</v>
      </c>
      <c r="J2101" s="71" t="s">
        <v>2460</v>
      </c>
    </row>
    <row r="2102" spans="1:10" ht="43.5" x14ac:dyDescent="0.35">
      <c r="A2102">
        <v>15</v>
      </c>
      <c r="B2102">
        <v>39</v>
      </c>
      <c r="C2102" t="s">
        <v>2622</v>
      </c>
      <c r="D2102" s="64">
        <f>VLOOKUP(C2102,'CHAS - Cook Co'!$C$1:$J$2762,2,FALSE) - VLOOKUP(C2102,'CHAS - Chicago'!$C$1:$J$2762,2,FALSE)</f>
        <v>1645</v>
      </c>
      <c r="E2102" t="s">
        <v>373</v>
      </c>
      <c r="F2102" s="71" t="s">
        <v>508</v>
      </c>
      <c r="G2102" s="71" t="s">
        <v>2512</v>
      </c>
      <c r="H2102" s="71" t="s">
        <v>2469</v>
      </c>
      <c r="I2102" s="71" t="s">
        <v>406</v>
      </c>
      <c r="J2102" s="71" t="s">
        <v>2460</v>
      </c>
    </row>
    <row r="2103" spans="1:10" ht="43.5" x14ac:dyDescent="0.35">
      <c r="A2103">
        <v>15</v>
      </c>
      <c r="B2103">
        <v>40</v>
      </c>
      <c r="C2103" t="s">
        <v>2626</v>
      </c>
      <c r="D2103" s="64">
        <f>VLOOKUP(C2103,'CHAS - Cook Co'!$C$1:$J$2762,2,FALSE) - VLOOKUP(C2103,'CHAS - Chicago'!$C$1:$J$2762,2,FALSE)</f>
        <v>4480</v>
      </c>
      <c r="E2103" t="s">
        <v>373</v>
      </c>
      <c r="F2103" s="71" t="s">
        <v>2508</v>
      </c>
      <c r="G2103" s="71" t="s">
        <v>2512</v>
      </c>
      <c r="H2103" s="71" t="s">
        <v>2581</v>
      </c>
      <c r="I2103" s="71" t="s">
        <v>1467</v>
      </c>
      <c r="J2103" s="71" t="s">
        <v>2463</v>
      </c>
    </row>
    <row r="2104" spans="1:10" ht="43.5" x14ac:dyDescent="0.35">
      <c r="A2104">
        <v>15</v>
      </c>
      <c r="B2104">
        <v>40</v>
      </c>
      <c r="C2104" t="s">
        <v>2625</v>
      </c>
      <c r="D2104" s="64">
        <f>VLOOKUP(C2104,'CHAS - Cook Co'!$C$1:$J$2762,2,FALSE) - VLOOKUP(C2104,'CHAS - Chicago'!$C$1:$J$2762,2,FALSE)</f>
        <v>2150</v>
      </c>
      <c r="E2104" t="s">
        <v>373</v>
      </c>
      <c r="F2104" s="71" t="s">
        <v>2510</v>
      </c>
      <c r="G2104" s="71" t="s">
        <v>2512</v>
      </c>
      <c r="H2104" s="71" t="s">
        <v>2581</v>
      </c>
      <c r="I2104" s="71" t="s">
        <v>1467</v>
      </c>
      <c r="J2104" s="71" t="s">
        <v>2463</v>
      </c>
    </row>
    <row r="2105" spans="1:10" ht="43.5" x14ac:dyDescent="0.35">
      <c r="A2105">
        <v>15</v>
      </c>
      <c r="B2105">
        <v>40</v>
      </c>
      <c r="C2105" t="s">
        <v>2627</v>
      </c>
      <c r="D2105" s="64">
        <f>VLOOKUP(C2105,'CHAS - Cook Co'!$C$1:$J$2762,2,FALSE) - VLOOKUP(C2105,'CHAS - Chicago'!$C$1:$J$2762,2,FALSE)</f>
        <v>2890</v>
      </c>
      <c r="E2105" t="s">
        <v>373</v>
      </c>
      <c r="F2105" s="71" t="s">
        <v>508</v>
      </c>
      <c r="G2105" s="71" t="s">
        <v>2512</v>
      </c>
      <c r="H2105" s="71" t="s">
        <v>2469</v>
      </c>
      <c r="I2105" s="71" t="s">
        <v>406</v>
      </c>
      <c r="J2105" s="71" t="s">
        <v>2463</v>
      </c>
    </row>
    <row r="2106" spans="1:10" ht="43.5" x14ac:dyDescent="0.35">
      <c r="A2106">
        <v>15</v>
      </c>
      <c r="B2106">
        <v>41</v>
      </c>
      <c r="C2106" t="s">
        <v>2628</v>
      </c>
      <c r="D2106" s="64">
        <f>VLOOKUP(C2106,'CHAS - Cook Co'!$C$1:$J$2762,2,FALSE) - VLOOKUP(C2106,'CHAS - Chicago'!$C$1:$J$2762,2,FALSE)</f>
        <v>10920</v>
      </c>
      <c r="E2106" t="s">
        <v>373</v>
      </c>
      <c r="F2106" s="71" t="s">
        <v>2508</v>
      </c>
      <c r="G2106" s="71" t="s">
        <v>2512</v>
      </c>
      <c r="H2106" s="71" t="s">
        <v>2581</v>
      </c>
      <c r="I2106" s="71" t="s">
        <v>1467</v>
      </c>
      <c r="J2106" s="71" t="s">
        <v>2466</v>
      </c>
    </row>
    <row r="2107" spans="1:10" ht="43.5" x14ac:dyDescent="0.35">
      <c r="A2107">
        <v>15</v>
      </c>
      <c r="B2107">
        <v>41</v>
      </c>
      <c r="C2107" t="s">
        <v>2629</v>
      </c>
      <c r="D2107" s="64">
        <f>VLOOKUP(C2107,'CHAS - Cook Co'!$C$1:$J$2762,2,FALSE) - VLOOKUP(C2107,'CHAS - Chicago'!$C$1:$J$2762,2,FALSE)</f>
        <v>5060</v>
      </c>
      <c r="E2107" t="s">
        <v>373</v>
      </c>
      <c r="F2107" s="71" t="s">
        <v>2510</v>
      </c>
      <c r="G2107" s="71" t="s">
        <v>2512</v>
      </c>
      <c r="H2107" s="71" t="s">
        <v>2581</v>
      </c>
      <c r="I2107" s="71" t="s">
        <v>1467</v>
      </c>
      <c r="J2107" s="71" t="s">
        <v>2466</v>
      </c>
    </row>
    <row r="2108" spans="1:10" ht="43.5" x14ac:dyDescent="0.35">
      <c r="A2108">
        <v>15</v>
      </c>
      <c r="B2108">
        <v>41</v>
      </c>
      <c r="C2108" t="s">
        <v>2630</v>
      </c>
      <c r="D2108" s="64">
        <f>VLOOKUP(C2108,'CHAS - Cook Co'!$C$1:$J$2762,2,FALSE) - VLOOKUP(C2108,'CHAS - Chicago'!$C$1:$J$2762,2,FALSE)</f>
        <v>1355</v>
      </c>
      <c r="E2108" t="s">
        <v>373</v>
      </c>
      <c r="F2108" s="71" t="s">
        <v>508</v>
      </c>
      <c r="G2108" s="71" t="s">
        <v>2512</v>
      </c>
      <c r="H2108" s="71" t="s">
        <v>2469</v>
      </c>
      <c r="I2108" s="71" t="s">
        <v>406</v>
      </c>
      <c r="J2108" s="71" t="s">
        <v>2466</v>
      </c>
    </row>
    <row r="2109" spans="1:10" ht="43.5" x14ac:dyDescent="0.35">
      <c r="A2109">
        <v>15</v>
      </c>
      <c r="B2109">
        <v>42</v>
      </c>
      <c r="C2109" t="s">
        <v>2631</v>
      </c>
      <c r="D2109" s="64">
        <f>VLOOKUP(C2109,'CHAS - Cook Co'!$C$1:$J$2762,2,FALSE) - VLOOKUP(C2109,'CHAS - Chicago'!$C$1:$J$2762,2,FALSE)</f>
        <v>71445</v>
      </c>
      <c r="E2109" t="s">
        <v>366</v>
      </c>
      <c r="F2109" s="71" t="s">
        <v>2508</v>
      </c>
      <c r="G2109" s="71" t="s">
        <v>2512</v>
      </c>
      <c r="H2109" s="71" t="s">
        <v>2581</v>
      </c>
      <c r="I2109" s="71" t="s">
        <v>1494</v>
      </c>
      <c r="J2109" s="71" t="s">
        <v>2443</v>
      </c>
    </row>
    <row r="2110" spans="1:10" ht="43.5" x14ac:dyDescent="0.35">
      <c r="A2110">
        <v>15</v>
      </c>
      <c r="B2110">
        <v>42</v>
      </c>
      <c r="C2110" t="s">
        <v>2632</v>
      </c>
      <c r="D2110" s="64">
        <f>VLOOKUP(C2110,'CHAS - Cook Co'!$C$1:$J$2762,2,FALSE) - VLOOKUP(C2110,'CHAS - Chicago'!$C$1:$J$2762,2,FALSE)</f>
        <v>22720</v>
      </c>
      <c r="E2110" t="s">
        <v>366</v>
      </c>
      <c r="F2110" s="71" t="s">
        <v>2510</v>
      </c>
      <c r="G2110" s="71" t="s">
        <v>2512</v>
      </c>
      <c r="H2110" s="71" t="s">
        <v>2581</v>
      </c>
      <c r="I2110" s="71" t="s">
        <v>1494</v>
      </c>
      <c r="J2110" s="71" t="s">
        <v>2443</v>
      </c>
    </row>
    <row r="2111" spans="1:10" ht="29" x14ac:dyDescent="0.35">
      <c r="A2111">
        <v>15</v>
      </c>
      <c r="B2111">
        <v>42</v>
      </c>
      <c r="C2111" t="s">
        <v>2633</v>
      </c>
      <c r="D2111" s="64">
        <f>VLOOKUP(C2111,'CHAS - Cook Co'!$C$1:$J$2762,2,FALSE) - VLOOKUP(C2111,'CHAS - Chicago'!$C$1:$J$2762,2,FALSE)</f>
        <v>7460</v>
      </c>
      <c r="E2111" t="s">
        <v>366</v>
      </c>
      <c r="F2111" s="71" t="s">
        <v>508</v>
      </c>
      <c r="G2111" s="71" t="s">
        <v>2512</v>
      </c>
      <c r="H2111" s="71" t="s">
        <v>2469</v>
      </c>
      <c r="I2111" s="71" t="s">
        <v>415</v>
      </c>
      <c r="J2111" s="71" t="s">
        <v>2443</v>
      </c>
    </row>
    <row r="2112" spans="1:10" ht="43.5" x14ac:dyDescent="0.35">
      <c r="A2112">
        <v>15</v>
      </c>
      <c r="B2112">
        <v>43</v>
      </c>
      <c r="C2112" t="s">
        <v>2634</v>
      </c>
      <c r="D2112" s="64">
        <f>VLOOKUP(C2112,'CHAS - Cook Co'!$C$1:$J$2762,2,FALSE) - VLOOKUP(C2112,'CHAS - Chicago'!$C$1:$J$2762,2,FALSE)</f>
        <v>970</v>
      </c>
      <c r="E2112" t="s">
        <v>373</v>
      </c>
      <c r="F2112" s="71" t="s">
        <v>2508</v>
      </c>
      <c r="G2112" s="71" t="s">
        <v>2512</v>
      </c>
      <c r="H2112" s="71" t="s">
        <v>2581</v>
      </c>
      <c r="I2112" s="71" t="s">
        <v>1494</v>
      </c>
      <c r="J2112" s="71" t="s">
        <v>2460</v>
      </c>
    </row>
    <row r="2113" spans="1:10" ht="43.5" x14ac:dyDescent="0.35">
      <c r="A2113">
        <v>15</v>
      </c>
      <c r="B2113">
        <v>43</v>
      </c>
      <c r="C2113" t="s">
        <v>2636</v>
      </c>
      <c r="D2113" s="64">
        <f>VLOOKUP(C2113,'CHAS - Cook Co'!$C$1:$J$2762,2,FALSE) - VLOOKUP(C2113,'CHAS - Chicago'!$C$1:$J$2762,2,FALSE)</f>
        <v>280</v>
      </c>
      <c r="E2113" t="s">
        <v>373</v>
      </c>
      <c r="F2113" s="71" t="s">
        <v>2510</v>
      </c>
      <c r="G2113" s="71" t="s">
        <v>2512</v>
      </c>
      <c r="H2113" s="71" t="s">
        <v>2581</v>
      </c>
      <c r="I2113" s="71" t="s">
        <v>1494</v>
      </c>
      <c r="J2113" s="71" t="s">
        <v>2460</v>
      </c>
    </row>
    <row r="2114" spans="1:10" ht="29" x14ac:dyDescent="0.35">
      <c r="A2114">
        <v>15</v>
      </c>
      <c r="B2114">
        <v>43</v>
      </c>
      <c r="C2114" t="s">
        <v>2635</v>
      </c>
      <c r="D2114" s="64">
        <f>VLOOKUP(C2114,'CHAS - Cook Co'!$C$1:$J$2762,2,FALSE) - VLOOKUP(C2114,'CHAS - Chicago'!$C$1:$J$2762,2,FALSE)</f>
        <v>1790</v>
      </c>
      <c r="E2114" t="s">
        <v>373</v>
      </c>
      <c r="F2114" s="71" t="s">
        <v>508</v>
      </c>
      <c r="G2114" s="71" t="s">
        <v>2512</v>
      </c>
      <c r="H2114" s="71" t="s">
        <v>2469</v>
      </c>
      <c r="I2114" s="71" t="s">
        <v>415</v>
      </c>
      <c r="J2114" s="71" t="s">
        <v>2460</v>
      </c>
    </row>
    <row r="2115" spans="1:10" ht="43.5" x14ac:dyDescent="0.35">
      <c r="A2115">
        <v>15</v>
      </c>
      <c r="B2115">
        <v>44</v>
      </c>
      <c r="C2115" t="s">
        <v>2637</v>
      </c>
      <c r="D2115" s="64">
        <f>VLOOKUP(C2115,'CHAS - Cook Co'!$C$1:$J$2762,2,FALSE) - VLOOKUP(C2115,'CHAS - Chicago'!$C$1:$J$2762,2,FALSE)</f>
        <v>15790</v>
      </c>
      <c r="E2115" t="s">
        <v>373</v>
      </c>
      <c r="F2115" s="71" t="s">
        <v>2508</v>
      </c>
      <c r="G2115" s="71" t="s">
        <v>2512</v>
      </c>
      <c r="H2115" s="71" t="s">
        <v>2581</v>
      </c>
      <c r="I2115" s="71" t="s">
        <v>1494</v>
      </c>
      <c r="J2115" s="71" t="s">
        <v>2463</v>
      </c>
    </row>
    <row r="2116" spans="1:10" ht="43.5" x14ac:dyDescent="0.35">
      <c r="A2116">
        <v>15</v>
      </c>
      <c r="B2116">
        <v>44</v>
      </c>
      <c r="C2116" t="s">
        <v>2638</v>
      </c>
      <c r="D2116" s="64">
        <f>VLOOKUP(C2116,'CHAS - Cook Co'!$C$1:$J$2762,2,FALSE) - VLOOKUP(C2116,'CHAS - Chicago'!$C$1:$J$2762,2,FALSE)</f>
        <v>6165</v>
      </c>
      <c r="E2116" t="s">
        <v>373</v>
      </c>
      <c r="F2116" s="71" t="s">
        <v>2510</v>
      </c>
      <c r="G2116" s="71" t="s">
        <v>2512</v>
      </c>
      <c r="H2116" s="71" t="s">
        <v>2581</v>
      </c>
      <c r="I2116" s="71" t="s">
        <v>1494</v>
      </c>
      <c r="J2116" s="71" t="s">
        <v>2463</v>
      </c>
    </row>
    <row r="2117" spans="1:10" ht="29" x14ac:dyDescent="0.35">
      <c r="A2117">
        <v>15</v>
      </c>
      <c r="B2117">
        <v>44</v>
      </c>
      <c r="C2117" t="s">
        <v>2639</v>
      </c>
      <c r="D2117" s="64">
        <f>VLOOKUP(C2117,'CHAS - Cook Co'!$C$1:$J$2762,2,FALSE) - VLOOKUP(C2117,'CHAS - Chicago'!$C$1:$J$2762,2,FALSE)</f>
        <v>3680</v>
      </c>
      <c r="E2117" t="s">
        <v>373</v>
      </c>
      <c r="F2117" s="71" t="s">
        <v>508</v>
      </c>
      <c r="G2117" s="71" t="s">
        <v>2512</v>
      </c>
      <c r="H2117" s="71" t="s">
        <v>2469</v>
      </c>
      <c r="I2117" s="71" t="s">
        <v>415</v>
      </c>
      <c r="J2117" s="71" t="s">
        <v>2463</v>
      </c>
    </row>
    <row r="2118" spans="1:10" ht="43.5" x14ac:dyDescent="0.35">
      <c r="A2118">
        <v>15</v>
      </c>
      <c r="B2118">
        <v>45</v>
      </c>
      <c r="C2118" t="s">
        <v>2640</v>
      </c>
      <c r="D2118" s="64">
        <f>VLOOKUP(C2118,'CHAS - Cook Co'!$C$1:$J$2762,2,FALSE) - VLOOKUP(C2118,'CHAS - Chicago'!$C$1:$J$2762,2,FALSE)</f>
        <v>54685</v>
      </c>
      <c r="E2118" t="s">
        <v>373</v>
      </c>
      <c r="F2118" s="71" t="s">
        <v>2508</v>
      </c>
      <c r="G2118" s="71" t="s">
        <v>2512</v>
      </c>
      <c r="H2118" s="71" t="s">
        <v>2581</v>
      </c>
      <c r="I2118" s="71" t="s">
        <v>1494</v>
      </c>
      <c r="J2118" s="71" t="s">
        <v>2466</v>
      </c>
    </row>
    <row r="2119" spans="1:10" ht="43.5" x14ac:dyDescent="0.35">
      <c r="A2119">
        <v>15</v>
      </c>
      <c r="B2119">
        <v>45</v>
      </c>
      <c r="C2119" t="s">
        <v>2642</v>
      </c>
      <c r="D2119" s="64">
        <f>VLOOKUP(C2119,'CHAS - Cook Co'!$C$1:$J$2762,2,FALSE) - VLOOKUP(C2119,'CHAS - Chicago'!$C$1:$J$2762,2,FALSE)</f>
        <v>16275</v>
      </c>
      <c r="E2119" t="s">
        <v>373</v>
      </c>
      <c r="F2119" s="71" t="s">
        <v>2510</v>
      </c>
      <c r="G2119" s="71" t="s">
        <v>2512</v>
      </c>
      <c r="H2119" s="71" t="s">
        <v>2581</v>
      </c>
      <c r="I2119" s="71" t="s">
        <v>1494</v>
      </c>
      <c r="J2119" s="71" t="s">
        <v>2466</v>
      </c>
    </row>
    <row r="2120" spans="1:10" ht="29" x14ac:dyDescent="0.35">
      <c r="A2120">
        <v>15</v>
      </c>
      <c r="B2120">
        <v>45</v>
      </c>
      <c r="C2120" t="s">
        <v>2641</v>
      </c>
      <c r="D2120" s="64">
        <f>VLOOKUP(C2120,'CHAS - Cook Co'!$C$1:$J$2762,2,FALSE) - VLOOKUP(C2120,'CHAS - Chicago'!$C$1:$J$2762,2,FALSE)</f>
        <v>1990</v>
      </c>
      <c r="E2120" t="s">
        <v>373</v>
      </c>
      <c r="F2120" s="71" t="s">
        <v>508</v>
      </c>
      <c r="G2120" s="71" t="s">
        <v>2512</v>
      </c>
      <c r="H2120" s="71" t="s">
        <v>2469</v>
      </c>
      <c r="I2120" s="71" t="s">
        <v>415</v>
      </c>
      <c r="J2120" s="71" t="s">
        <v>2466</v>
      </c>
    </row>
    <row r="2121" spans="1:10" ht="29" x14ac:dyDescent="0.35">
      <c r="A2121">
        <v>15</v>
      </c>
      <c r="B2121">
        <v>46</v>
      </c>
      <c r="C2121" t="s">
        <v>2646</v>
      </c>
      <c r="D2121" s="64">
        <f>VLOOKUP(C2121,'CHAS - Cook Co'!$C$1:$J$2762,2,FALSE) - VLOOKUP(C2121,'CHAS - Chicago'!$C$1:$J$2762,2,FALSE)</f>
        <v>56410</v>
      </c>
      <c r="E2121" t="s">
        <v>366</v>
      </c>
      <c r="F2121" s="71" t="s">
        <v>2508</v>
      </c>
      <c r="G2121" s="71" t="s">
        <v>2512</v>
      </c>
      <c r="H2121" s="71" t="s">
        <v>2645</v>
      </c>
      <c r="I2121" s="71" t="s">
        <v>363</v>
      </c>
      <c r="J2121" s="71" t="s">
        <v>2443</v>
      </c>
    </row>
    <row r="2122" spans="1:10" ht="29" x14ac:dyDescent="0.35">
      <c r="A2122">
        <v>15</v>
      </c>
      <c r="B2122">
        <v>46</v>
      </c>
      <c r="C2122" t="s">
        <v>2644</v>
      </c>
      <c r="D2122" s="64">
        <f>VLOOKUP(C2122,'CHAS - Cook Co'!$C$1:$J$2762,2,FALSE) - VLOOKUP(C2122,'CHAS - Chicago'!$C$1:$J$2762,2,FALSE)</f>
        <v>27640</v>
      </c>
      <c r="E2122" t="s">
        <v>366</v>
      </c>
      <c r="F2122" s="71" t="s">
        <v>2510</v>
      </c>
      <c r="G2122" s="71" t="s">
        <v>2512</v>
      </c>
      <c r="H2122" s="71" t="s">
        <v>2645</v>
      </c>
      <c r="I2122" s="71" t="s">
        <v>363</v>
      </c>
      <c r="J2122" s="71" t="s">
        <v>2443</v>
      </c>
    </row>
    <row r="2123" spans="1:10" ht="29" x14ac:dyDescent="0.35">
      <c r="A2123">
        <v>15</v>
      </c>
      <c r="B2123">
        <v>46</v>
      </c>
      <c r="C2123" t="s">
        <v>2643</v>
      </c>
      <c r="D2123" s="64">
        <f>VLOOKUP(C2123,'CHAS - Cook Co'!$C$1:$J$2762,2,FALSE) - VLOOKUP(C2123,'CHAS - Chicago'!$C$1:$J$2762,2,FALSE)</f>
        <v>131325</v>
      </c>
      <c r="E2123" t="s">
        <v>366</v>
      </c>
      <c r="F2123" s="71" t="s">
        <v>508</v>
      </c>
      <c r="G2123" s="71" t="s">
        <v>2512</v>
      </c>
      <c r="H2123" s="71" t="s">
        <v>2479</v>
      </c>
      <c r="I2123" s="71" t="s">
        <v>363</v>
      </c>
      <c r="J2123" s="71" t="s">
        <v>2443</v>
      </c>
    </row>
    <row r="2124" spans="1:10" ht="43.5" x14ac:dyDescent="0.35">
      <c r="A2124">
        <v>15</v>
      </c>
      <c r="B2124">
        <v>47</v>
      </c>
      <c r="C2124" t="s">
        <v>2647</v>
      </c>
      <c r="D2124" s="64">
        <f>VLOOKUP(C2124,'CHAS - Cook Co'!$C$1:$J$2762,2,FALSE) - VLOOKUP(C2124,'CHAS - Chicago'!$C$1:$J$2762,2,FALSE)</f>
        <v>1915</v>
      </c>
      <c r="E2124" t="s">
        <v>366</v>
      </c>
      <c r="F2124" s="71" t="s">
        <v>2508</v>
      </c>
      <c r="G2124" s="71" t="s">
        <v>2512</v>
      </c>
      <c r="H2124" s="71" t="s">
        <v>2645</v>
      </c>
      <c r="I2124" s="71" t="s">
        <v>1377</v>
      </c>
      <c r="J2124" s="71" t="s">
        <v>2443</v>
      </c>
    </row>
    <row r="2125" spans="1:10" ht="43.5" x14ac:dyDescent="0.35">
      <c r="A2125">
        <v>15</v>
      </c>
      <c r="B2125">
        <v>47</v>
      </c>
      <c r="C2125" t="s">
        <v>2648</v>
      </c>
      <c r="D2125" s="64">
        <f>VLOOKUP(C2125,'CHAS - Cook Co'!$C$1:$J$2762,2,FALSE) - VLOOKUP(C2125,'CHAS - Chicago'!$C$1:$J$2762,2,FALSE)</f>
        <v>3070</v>
      </c>
      <c r="E2125" t="s">
        <v>366</v>
      </c>
      <c r="F2125" s="71" t="s">
        <v>2510</v>
      </c>
      <c r="G2125" s="71" t="s">
        <v>2512</v>
      </c>
      <c r="H2125" s="71" t="s">
        <v>2645</v>
      </c>
      <c r="I2125" s="71" t="s">
        <v>1377</v>
      </c>
      <c r="J2125" s="71" t="s">
        <v>2443</v>
      </c>
    </row>
    <row r="2126" spans="1:10" ht="29" x14ac:dyDescent="0.35">
      <c r="A2126">
        <v>15</v>
      </c>
      <c r="B2126">
        <v>47</v>
      </c>
      <c r="C2126" t="s">
        <v>2649</v>
      </c>
      <c r="D2126" s="64">
        <f>VLOOKUP(C2126,'CHAS - Cook Co'!$C$1:$J$2762,2,FALSE) - VLOOKUP(C2126,'CHAS - Chicago'!$C$1:$J$2762,2,FALSE)</f>
        <v>28270</v>
      </c>
      <c r="E2126" t="s">
        <v>366</v>
      </c>
      <c r="F2126" s="71" t="s">
        <v>508</v>
      </c>
      <c r="G2126" s="71" t="s">
        <v>2512</v>
      </c>
      <c r="H2126" s="71" t="s">
        <v>2479</v>
      </c>
      <c r="I2126" s="71" t="s">
        <v>371</v>
      </c>
      <c r="J2126" s="71" t="s">
        <v>2443</v>
      </c>
    </row>
    <row r="2127" spans="1:10" ht="43.5" x14ac:dyDescent="0.35">
      <c r="A2127">
        <v>15</v>
      </c>
      <c r="B2127">
        <v>48</v>
      </c>
      <c r="C2127" t="s">
        <v>2650</v>
      </c>
      <c r="D2127" s="64">
        <f>VLOOKUP(C2127,'CHAS - Cook Co'!$C$1:$J$2762,2,FALSE) - VLOOKUP(C2127,'CHAS - Chicago'!$C$1:$J$2762,2,FALSE)</f>
        <v>65</v>
      </c>
      <c r="E2127" t="s">
        <v>373</v>
      </c>
      <c r="F2127" s="71" t="s">
        <v>2508</v>
      </c>
      <c r="G2127" s="71" t="s">
        <v>2512</v>
      </c>
      <c r="H2127" s="71" t="s">
        <v>2645</v>
      </c>
      <c r="I2127" s="71" t="s">
        <v>1377</v>
      </c>
      <c r="J2127" s="71" t="s">
        <v>2460</v>
      </c>
    </row>
    <row r="2128" spans="1:10" ht="43.5" x14ac:dyDescent="0.35">
      <c r="A2128">
        <v>15</v>
      </c>
      <c r="B2128">
        <v>48</v>
      </c>
      <c r="C2128" t="s">
        <v>2651</v>
      </c>
      <c r="D2128" s="64">
        <f>VLOOKUP(C2128,'CHAS - Cook Co'!$C$1:$J$2762,2,FALSE) - VLOOKUP(C2128,'CHAS - Chicago'!$C$1:$J$2762,2,FALSE)</f>
        <v>190</v>
      </c>
      <c r="E2128" t="s">
        <v>373</v>
      </c>
      <c r="F2128" s="71" t="s">
        <v>2510</v>
      </c>
      <c r="G2128" s="71" t="s">
        <v>2512</v>
      </c>
      <c r="H2128" s="71" t="s">
        <v>2645</v>
      </c>
      <c r="I2128" s="71" t="s">
        <v>1377</v>
      </c>
      <c r="J2128" s="71" t="s">
        <v>2460</v>
      </c>
    </row>
    <row r="2129" spans="1:10" ht="29" x14ac:dyDescent="0.35">
      <c r="A2129">
        <v>15</v>
      </c>
      <c r="B2129">
        <v>48</v>
      </c>
      <c r="C2129" t="s">
        <v>2652</v>
      </c>
      <c r="D2129" s="64">
        <f>VLOOKUP(C2129,'CHAS - Cook Co'!$C$1:$J$2762,2,FALSE) - VLOOKUP(C2129,'CHAS - Chicago'!$C$1:$J$2762,2,FALSE)</f>
        <v>10150</v>
      </c>
      <c r="E2129" t="s">
        <v>373</v>
      </c>
      <c r="F2129" s="71" t="s">
        <v>508</v>
      </c>
      <c r="G2129" s="71" t="s">
        <v>2512</v>
      </c>
      <c r="H2129" s="71" t="s">
        <v>2479</v>
      </c>
      <c r="I2129" s="71" t="s">
        <v>371</v>
      </c>
      <c r="J2129" s="71" t="s">
        <v>2460</v>
      </c>
    </row>
    <row r="2130" spans="1:10" ht="43.5" x14ac:dyDescent="0.35">
      <c r="A2130">
        <v>15</v>
      </c>
      <c r="B2130">
        <v>49</v>
      </c>
      <c r="C2130" t="s">
        <v>2654</v>
      </c>
      <c r="D2130" s="64">
        <f>VLOOKUP(C2130,'CHAS - Cook Co'!$C$1:$J$2762,2,FALSE) - VLOOKUP(C2130,'CHAS - Chicago'!$C$1:$J$2762,2,FALSE)</f>
        <v>400</v>
      </c>
      <c r="E2130" t="s">
        <v>373</v>
      </c>
      <c r="F2130" s="71" t="s">
        <v>2508</v>
      </c>
      <c r="G2130" s="71" t="s">
        <v>2512</v>
      </c>
      <c r="H2130" s="71" t="s">
        <v>2645</v>
      </c>
      <c r="I2130" s="71" t="s">
        <v>1377</v>
      </c>
      <c r="J2130" s="71" t="s">
        <v>2463</v>
      </c>
    </row>
    <row r="2131" spans="1:10" ht="43.5" x14ac:dyDescent="0.35">
      <c r="A2131">
        <v>15</v>
      </c>
      <c r="B2131">
        <v>49</v>
      </c>
      <c r="C2131" t="s">
        <v>2655</v>
      </c>
      <c r="D2131" s="64">
        <f>VLOOKUP(C2131,'CHAS - Cook Co'!$C$1:$J$2762,2,FALSE) - VLOOKUP(C2131,'CHAS - Chicago'!$C$1:$J$2762,2,FALSE)</f>
        <v>695</v>
      </c>
      <c r="E2131" t="s">
        <v>373</v>
      </c>
      <c r="F2131" s="71" t="s">
        <v>2510</v>
      </c>
      <c r="G2131" s="71" t="s">
        <v>2512</v>
      </c>
      <c r="H2131" s="71" t="s">
        <v>2645</v>
      </c>
      <c r="I2131" s="71" t="s">
        <v>1377</v>
      </c>
      <c r="J2131" s="71" t="s">
        <v>2463</v>
      </c>
    </row>
    <row r="2132" spans="1:10" ht="29" x14ac:dyDescent="0.35">
      <c r="A2132">
        <v>15</v>
      </c>
      <c r="B2132">
        <v>49</v>
      </c>
      <c r="C2132" t="s">
        <v>2653</v>
      </c>
      <c r="D2132" s="64">
        <f>VLOOKUP(C2132,'CHAS - Cook Co'!$C$1:$J$2762,2,FALSE) - VLOOKUP(C2132,'CHAS - Chicago'!$C$1:$J$2762,2,FALSE)</f>
        <v>11450</v>
      </c>
      <c r="E2132" t="s">
        <v>373</v>
      </c>
      <c r="F2132" s="71" t="s">
        <v>508</v>
      </c>
      <c r="G2132" s="71" t="s">
        <v>2512</v>
      </c>
      <c r="H2132" s="71" t="s">
        <v>2479</v>
      </c>
      <c r="I2132" s="71" t="s">
        <v>371</v>
      </c>
      <c r="J2132" s="71" t="s">
        <v>2463</v>
      </c>
    </row>
    <row r="2133" spans="1:10" ht="43.5" x14ac:dyDescent="0.35">
      <c r="A2133">
        <v>15</v>
      </c>
      <c r="B2133">
        <v>50</v>
      </c>
      <c r="C2133" t="s">
        <v>2658</v>
      </c>
      <c r="D2133" s="64">
        <f>VLOOKUP(C2133,'CHAS - Cook Co'!$C$1:$J$2762,2,FALSE) - VLOOKUP(C2133,'CHAS - Chicago'!$C$1:$J$2762,2,FALSE)</f>
        <v>1455</v>
      </c>
      <c r="E2133" t="s">
        <v>373</v>
      </c>
      <c r="F2133" s="71" t="s">
        <v>2508</v>
      </c>
      <c r="G2133" s="71" t="s">
        <v>2512</v>
      </c>
      <c r="H2133" s="71" t="s">
        <v>2645</v>
      </c>
      <c r="I2133" s="71" t="s">
        <v>1377</v>
      </c>
      <c r="J2133" s="71" t="s">
        <v>2466</v>
      </c>
    </row>
    <row r="2134" spans="1:10" ht="43.5" x14ac:dyDescent="0.35">
      <c r="A2134">
        <v>15</v>
      </c>
      <c r="B2134">
        <v>50</v>
      </c>
      <c r="C2134" t="s">
        <v>2656</v>
      </c>
      <c r="D2134" s="64">
        <f>VLOOKUP(C2134,'CHAS - Cook Co'!$C$1:$J$2762,2,FALSE) - VLOOKUP(C2134,'CHAS - Chicago'!$C$1:$J$2762,2,FALSE)</f>
        <v>2180</v>
      </c>
      <c r="E2134" t="s">
        <v>373</v>
      </c>
      <c r="F2134" s="71" t="s">
        <v>2510</v>
      </c>
      <c r="G2134" s="71" t="s">
        <v>2512</v>
      </c>
      <c r="H2134" s="71" t="s">
        <v>2645</v>
      </c>
      <c r="I2134" s="71" t="s">
        <v>1377</v>
      </c>
      <c r="J2134" s="71" t="s">
        <v>2466</v>
      </c>
    </row>
    <row r="2135" spans="1:10" ht="29" x14ac:dyDescent="0.35">
      <c r="A2135">
        <v>15</v>
      </c>
      <c r="B2135">
        <v>50</v>
      </c>
      <c r="C2135" t="s">
        <v>2657</v>
      </c>
      <c r="D2135" s="64">
        <f>VLOOKUP(C2135,'CHAS - Cook Co'!$C$1:$J$2762,2,FALSE) - VLOOKUP(C2135,'CHAS - Chicago'!$C$1:$J$2762,2,FALSE)</f>
        <v>6665</v>
      </c>
      <c r="E2135" t="s">
        <v>373</v>
      </c>
      <c r="F2135" s="71" t="s">
        <v>508</v>
      </c>
      <c r="G2135" s="71" t="s">
        <v>2512</v>
      </c>
      <c r="H2135" s="71" t="s">
        <v>2479</v>
      </c>
      <c r="I2135" s="71" t="s">
        <v>371</v>
      </c>
      <c r="J2135" s="71" t="s">
        <v>2466</v>
      </c>
    </row>
    <row r="2136" spans="1:10" ht="43.5" x14ac:dyDescent="0.35">
      <c r="A2136">
        <v>15</v>
      </c>
      <c r="B2136">
        <v>51</v>
      </c>
      <c r="C2136" t="s">
        <v>2660</v>
      </c>
      <c r="D2136" s="64">
        <f>VLOOKUP(C2136,'CHAS - Cook Co'!$C$1:$J$2762,2,FALSE) - VLOOKUP(C2136,'CHAS - Chicago'!$C$1:$J$2762,2,FALSE)</f>
        <v>2745</v>
      </c>
      <c r="E2136" t="s">
        <v>366</v>
      </c>
      <c r="F2136" s="71" t="s">
        <v>2508</v>
      </c>
      <c r="G2136" s="71" t="s">
        <v>2512</v>
      </c>
      <c r="H2136" s="71" t="s">
        <v>2645</v>
      </c>
      <c r="I2136" s="71" t="s">
        <v>1413</v>
      </c>
      <c r="J2136" s="71" t="s">
        <v>2443</v>
      </c>
    </row>
    <row r="2137" spans="1:10" ht="43.5" x14ac:dyDescent="0.35">
      <c r="A2137">
        <v>15</v>
      </c>
      <c r="B2137">
        <v>51</v>
      </c>
      <c r="C2137" t="s">
        <v>2661</v>
      </c>
      <c r="D2137" s="64">
        <f>VLOOKUP(C2137,'CHAS - Cook Co'!$C$1:$J$2762,2,FALSE) - VLOOKUP(C2137,'CHAS - Chicago'!$C$1:$J$2762,2,FALSE)</f>
        <v>4175</v>
      </c>
      <c r="E2137" t="s">
        <v>366</v>
      </c>
      <c r="F2137" s="71" t="s">
        <v>2510</v>
      </c>
      <c r="G2137" s="71" t="s">
        <v>2512</v>
      </c>
      <c r="H2137" s="71" t="s">
        <v>2645</v>
      </c>
      <c r="I2137" s="71" t="s">
        <v>1413</v>
      </c>
      <c r="J2137" s="71" t="s">
        <v>2443</v>
      </c>
    </row>
    <row r="2138" spans="1:10" ht="43.5" x14ac:dyDescent="0.35">
      <c r="A2138">
        <v>15</v>
      </c>
      <c r="B2138">
        <v>51</v>
      </c>
      <c r="C2138" t="s">
        <v>2659</v>
      </c>
      <c r="D2138" s="64">
        <f>VLOOKUP(C2138,'CHAS - Cook Co'!$C$1:$J$2762,2,FALSE) - VLOOKUP(C2138,'CHAS - Chicago'!$C$1:$J$2762,2,FALSE)</f>
        <v>23755</v>
      </c>
      <c r="E2138" t="s">
        <v>366</v>
      </c>
      <c r="F2138" s="71" t="s">
        <v>508</v>
      </c>
      <c r="G2138" s="71" t="s">
        <v>2512</v>
      </c>
      <c r="H2138" s="71" t="s">
        <v>2479</v>
      </c>
      <c r="I2138" s="71" t="s">
        <v>388</v>
      </c>
      <c r="J2138" s="71" t="s">
        <v>2443</v>
      </c>
    </row>
    <row r="2139" spans="1:10" ht="43.5" x14ac:dyDescent="0.35">
      <c r="A2139">
        <v>15</v>
      </c>
      <c r="B2139">
        <v>52</v>
      </c>
      <c r="C2139" t="s">
        <v>2664</v>
      </c>
      <c r="D2139" s="64">
        <f>VLOOKUP(C2139,'CHAS - Cook Co'!$C$1:$J$2762,2,FALSE) - VLOOKUP(C2139,'CHAS - Chicago'!$C$1:$J$2762,2,FALSE)</f>
        <v>125</v>
      </c>
      <c r="E2139" t="s">
        <v>373</v>
      </c>
      <c r="F2139" s="71" t="s">
        <v>2508</v>
      </c>
      <c r="G2139" s="71" t="s">
        <v>2512</v>
      </c>
      <c r="H2139" s="71" t="s">
        <v>2645</v>
      </c>
      <c r="I2139" s="71" t="s">
        <v>1413</v>
      </c>
      <c r="J2139" s="71" t="s">
        <v>2460</v>
      </c>
    </row>
    <row r="2140" spans="1:10" ht="43.5" x14ac:dyDescent="0.35">
      <c r="A2140">
        <v>15</v>
      </c>
      <c r="B2140">
        <v>52</v>
      </c>
      <c r="C2140" t="s">
        <v>2662</v>
      </c>
      <c r="D2140" s="64">
        <f>VLOOKUP(C2140,'CHAS - Cook Co'!$C$1:$J$2762,2,FALSE) - VLOOKUP(C2140,'CHAS - Chicago'!$C$1:$J$2762,2,FALSE)</f>
        <v>215</v>
      </c>
      <c r="E2140" t="s">
        <v>373</v>
      </c>
      <c r="F2140" s="71" t="s">
        <v>2510</v>
      </c>
      <c r="G2140" s="71" t="s">
        <v>2512</v>
      </c>
      <c r="H2140" s="71" t="s">
        <v>2645</v>
      </c>
      <c r="I2140" s="71" t="s">
        <v>1413</v>
      </c>
      <c r="J2140" s="71" t="s">
        <v>2460</v>
      </c>
    </row>
    <row r="2141" spans="1:10" ht="43.5" x14ac:dyDescent="0.35">
      <c r="A2141">
        <v>15</v>
      </c>
      <c r="B2141">
        <v>52</v>
      </c>
      <c r="C2141" t="s">
        <v>2663</v>
      </c>
      <c r="D2141" s="64">
        <f>VLOOKUP(C2141,'CHAS - Cook Co'!$C$1:$J$2762,2,FALSE) - VLOOKUP(C2141,'CHAS - Chicago'!$C$1:$J$2762,2,FALSE)</f>
        <v>7970</v>
      </c>
      <c r="E2141" t="s">
        <v>373</v>
      </c>
      <c r="F2141" s="71" t="s">
        <v>508</v>
      </c>
      <c r="G2141" s="71" t="s">
        <v>2512</v>
      </c>
      <c r="H2141" s="71" t="s">
        <v>2479</v>
      </c>
      <c r="I2141" s="71" t="s">
        <v>388</v>
      </c>
      <c r="J2141" s="71" t="s">
        <v>2460</v>
      </c>
    </row>
    <row r="2142" spans="1:10" ht="43.5" x14ac:dyDescent="0.35">
      <c r="A2142">
        <v>15</v>
      </c>
      <c r="B2142">
        <v>53</v>
      </c>
      <c r="C2142" t="s">
        <v>2667</v>
      </c>
      <c r="D2142" s="64">
        <f>VLOOKUP(C2142,'CHAS - Cook Co'!$C$1:$J$2762,2,FALSE) - VLOOKUP(C2142,'CHAS - Chicago'!$C$1:$J$2762,2,FALSE)</f>
        <v>460</v>
      </c>
      <c r="E2142" t="s">
        <v>373</v>
      </c>
      <c r="F2142" s="71" t="s">
        <v>2508</v>
      </c>
      <c r="G2142" s="71" t="s">
        <v>2512</v>
      </c>
      <c r="H2142" s="71" t="s">
        <v>2645</v>
      </c>
      <c r="I2142" s="71" t="s">
        <v>1413</v>
      </c>
      <c r="J2142" s="71" t="s">
        <v>2463</v>
      </c>
    </row>
    <row r="2143" spans="1:10" ht="43.5" x14ac:dyDescent="0.35">
      <c r="A2143">
        <v>15</v>
      </c>
      <c r="B2143">
        <v>53</v>
      </c>
      <c r="C2143" t="s">
        <v>2665</v>
      </c>
      <c r="D2143" s="64">
        <f>VLOOKUP(C2143,'CHAS - Cook Co'!$C$1:$J$2762,2,FALSE) - VLOOKUP(C2143,'CHAS - Chicago'!$C$1:$J$2762,2,FALSE)</f>
        <v>925</v>
      </c>
      <c r="E2143" t="s">
        <v>373</v>
      </c>
      <c r="F2143" s="71" t="s">
        <v>2510</v>
      </c>
      <c r="G2143" s="71" t="s">
        <v>2512</v>
      </c>
      <c r="H2143" s="71" t="s">
        <v>2645</v>
      </c>
      <c r="I2143" s="71" t="s">
        <v>1413</v>
      </c>
      <c r="J2143" s="71" t="s">
        <v>2463</v>
      </c>
    </row>
    <row r="2144" spans="1:10" ht="43.5" x14ac:dyDescent="0.35">
      <c r="A2144">
        <v>15</v>
      </c>
      <c r="B2144">
        <v>53</v>
      </c>
      <c r="C2144" t="s">
        <v>2666</v>
      </c>
      <c r="D2144" s="64">
        <f>VLOOKUP(C2144,'CHAS - Cook Co'!$C$1:$J$2762,2,FALSE) - VLOOKUP(C2144,'CHAS - Chicago'!$C$1:$J$2762,2,FALSE)</f>
        <v>10040</v>
      </c>
      <c r="E2144" t="s">
        <v>373</v>
      </c>
      <c r="F2144" s="71" t="s">
        <v>508</v>
      </c>
      <c r="G2144" s="71" t="s">
        <v>2512</v>
      </c>
      <c r="H2144" s="71" t="s">
        <v>2479</v>
      </c>
      <c r="I2144" s="71" t="s">
        <v>388</v>
      </c>
      <c r="J2144" s="71" t="s">
        <v>2463</v>
      </c>
    </row>
    <row r="2145" spans="1:10" ht="43.5" x14ac:dyDescent="0.35">
      <c r="A2145">
        <v>15</v>
      </c>
      <c r="B2145">
        <v>54</v>
      </c>
      <c r="C2145" t="s">
        <v>2669</v>
      </c>
      <c r="D2145" s="64">
        <f>VLOOKUP(C2145,'CHAS - Cook Co'!$C$1:$J$2762,2,FALSE) - VLOOKUP(C2145,'CHAS - Chicago'!$C$1:$J$2762,2,FALSE)</f>
        <v>2165</v>
      </c>
      <c r="E2145" t="s">
        <v>373</v>
      </c>
      <c r="F2145" s="71" t="s">
        <v>2508</v>
      </c>
      <c r="G2145" s="71" t="s">
        <v>2512</v>
      </c>
      <c r="H2145" s="71" t="s">
        <v>2645</v>
      </c>
      <c r="I2145" s="71" t="s">
        <v>1413</v>
      </c>
      <c r="J2145" s="71" t="s">
        <v>2466</v>
      </c>
    </row>
    <row r="2146" spans="1:10" ht="43.5" x14ac:dyDescent="0.35">
      <c r="A2146">
        <v>15</v>
      </c>
      <c r="B2146">
        <v>54</v>
      </c>
      <c r="C2146" t="s">
        <v>2670</v>
      </c>
      <c r="D2146" s="64">
        <f>VLOOKUP(C2146,'CHAS - Cook Co'!$C$1:$J$2762,2,FALSE) - VLOOKUP(C2146,'CHAS - Chicago'!$C$1:$J$2762,2,FALSE)</f>
        <v>3035</v>
      </c>
      <c r="E2146" t="s">
        <v>373</v>
      </c>
      <c r="F2146" s="71" t="s">
        <v>2510</v>
      </c>
      <c r="G2146" s="71" t="s">
        <v>2512</v>
      </c>
      <c r="H2146" s="71" t="s">
        <v>2645</v>
      </c>
      <c r="I2146" s="71" t="s">
        <v>1413</v>
      </c>
      <c r="J2146" s="71" t="s">
        <v>2466</v>
      </c>
    </row>
    <row r="2147" spans="1:10" ht="43.5" x14ac:dyDescent="0.35">
      <c r="A2147">
        <v>15</v>
      </c>
      <c r="B2147">
        <v>54</v>
      </c>
      <c r="C2147" t="s">
        <v>2668</v>
      </c>
      <c r="D2147" s="64">
        <f>VLOOKUP(C2147,'CHAS - Cook Co'!$C$1:$J$2762,2,FALSE) - VLOOKUP(C2147,'CHAS - Chicago'!$C$1:$J$2762,2,FALSE)</f>
        <v>5745</v>
      </c>
      <c r="E2147" t="s">
        <v>373</v>
      </c>
      <c r="F2147" s="71" t="s">
        <v>508</v>
      </c>
      <c r="G2147" s="71" t="s">
        <v>2512</v>
      </c>
      <c r="H2147" s="71" t="s">
        <v>2479</v>
      </c>
      <c r="I2147" s="71" t="s">
        <v>388</v>
      </c>
      <c r="J2147" s="71" t="s">
        <v>2466</v>
      </c>
    </row>
    <row r="2148" spans="1:10" ht="43.5" x14ac:dyDescent="0.35">
      <c r="A2148">
        <v>15</v>
      </c>
      <c r="B2148">
        <v>55</v>
      </c>
      <c r="C2148" t="s">
        <v>2671</v>
      </c>
      <c r="D2148" s="64">
        <f>VLOOKUP(C2148,'CHAS - Cook Co'!$C$1:$J$2762,2,FALSE) - VLOOKUP(C2148,'CHAS - Chicago'!$C$1:$J$2762,2,FALSE)</f>
        <v>6590</v>
      </c>
      <c r="E2148" t="s">
        <v>366</v>
      </c>
      <c r="F2148" s="71" t="s">
        <v>2508</v>
      </c>
      <c r="G2148" s="71" t="s">
        <v>2512</v>
      </c>
      <c r="H2148" s="71" t="s">
        <v>2645</v>
      </c>
      <c r="I2148" s="71" t="s">
        <v>1440</v>
      </c>
      <c r="J2148" s="71" t="s">
        <v>2443</v>
      </c>
    </row>
    <row r="2149" spans="1:10" ht="43.5" x14ac:dyDescent="0.35">
      <c r="A2149">
        <v>15</v>
      </c>
      <c r="B2149">
        <v>55</v>
      </c>
      <c r="C2149" t="s">
        <v>2673</v>
      </c>
      <c r="D2149" s="64">
        <f>VLOOKUP(C2149,'CHAS - Cook Co'!$C$1:$J$2762,2,FALSE) - VLOOKUP(C2149,'CHAS - Chicago'!$C$1:$J$2762,2,FALSE)</f>
        <v>4815</v>
      </c>
      <c r="E2149" t="s">
        <v>366</v>
      </c>
      <c r="F2149" s="71" t="s">
        <v>2510</v>
      </c>
      <c r="G2149" s="71" t="s">
        <v>2512</v>
      </c>
      <c r="H2149" s="71" t="s">
        <v>2645</v>
      </c>
      <c r="I2149" s="71" t="s">
        <v>1440</v>
      </c>
      <c r="J2149" s="71" t="s">
        <v>2443</v>
      </c>
    </row>
    <row r="2150" spans="1:10" ht="43.5" x14ac:dyDescent="0.35">
      <c r="A2150">
        <v>15</v>
      </c>
      <c r="B2150">
        <v>55</v>
      </c>
      <c r="C2150" t="s">
        <v>2672</v>
      </c>
      <c r="D2150" s="64">
        <f>VLOOKUP(C2150,'CHAS - Cook Co'!$C$1:$J$2762,2,FALSE) - VLOOKUP(C2150,'CHAS - Chicago'!$C$1:$J$2762,2,FALSE)</f>
        <v>30270</v>
      </c>
      <c r="E2150" t="s">
        <v>366</v>
      </c>
      <c r="F2150" s="71" t="s">
        <v>508</v>
      </c>
      <c r="G2150" s="71" t="s">
        <v>2512</v>
      </c>
      <c r="H2150" s="71" t="s">
        <v>2479</v>
      </c>
      <c r="I2150" s="71" t="s">
        <v>397</v>
      </c>
      <c r="J2150" s="71" t="s">
        <v>2443</v>
      </c>
    </row>
    <row r="2151" spans="1:10" ht="43.5" x14ac:dyDescent="0.35">
      <c r="A2151">
        <v>15</v>
      </c>
      <c r="B2151">
        <v>56</v>
      </c>
      <c r="C2151" t="s">
        <v>2674</v>
      </c>
      <c r="D2151" s="64">
        <f>VLOOKUP(C2151,'CHAS - Cook Co'!$C$1:$J$2762,2,FALSE) - VLOOKUP(C2151,'CHAS - Chicago'!$C$1:$J$2762,2,FALSE)</f>
        <v>260</v>
      </c>
      <c r="E2151" t="s">
        <v>373</v>
      </c>
      <c r="F2151" s="71" t="s">
        <v>2508</v>
      </c>
      <c r="G2151" s="71" t="s">
        <v>2512</v>
      </c>
      <c r="H2151" s="71" t="s">
        <v>2645</v>
      </c>
      <c r="I2151" s="71" t="s">
        <v>1440</v>
      </c>
      <c r="J2151" s="71" t="s">
        <v>2460</v>
      </c>
    </row>
    <row r="2152" spans="1:10" ht="43.5" x14ac:dyDescent="0.35">
      <c r="A2152">
        <v>15</v>
      </c>
      <c r="B2152">
        <v>56</v>
      </c>
      <c r="C2152" t="s">
        <v>2676</v>
      </c>
      <c r="D2152" s="64">
        <f>VLOOKUP(C2152,'CHAS - Cook Co'!$C$1:$J$2762,2,FALSE) - VLOOKUP(C2152,'CHAS - Chicago'!$C$1:$J$2762,2,FALSE)</f>
        <v>105</v>
      </c>
      <c r="E2152" t="s">
        <v>373</v>
      </c>
      <c r="F2152" s="71" t="s">
        <v>2510</v>
      </c>
      <c r="G2152" s="71" t="s">
        <v>2512</v>
      </c>
      <c r="H2152" s="71" t="s">
        <v>2645</v>
      </c>
      <c r="I2152" s="71" t="s">
        <v>1440</v>
      </c>
      <c r="J2152" s="71" t="s">
        <v>2460</v>
      </c>
    </row>
    <row r="2153" spans="1:10" ht="43.5" x14ac:dyDescent="0.35">
      <c r="A2153">
        <v>15</v>
      </c>
      <c r="B2153">
        <v>56</v>
      </c>
      <c r="C2153" t="s">
        <v>2675</v>
      </c>
      <c r="D2153" s="64">
        <f>VLOOKUP(C2153,'CHAS - Cook Co'!$C$1:$J$2762,2,FALSE) - VLOOKUP(C2153,'CHAS - Chicago'!$C$1:$J$2762,2,FALSE)</f>
        <v>10220</v>
      </c>
      <c r="E2153" t="s">
        <v>373</v>
      </c>
      <c r="F2153" s="71" t="s">
        <v>508</v>
      </c>
      <c r="G2153" s="71" t="s">
        <v>2512</v>
      </c>
      <c r="H2153" s="71" t="s">
        <v>2479</v>
      </c>
      <c r="I2153" s="71" t="s">
        <v>397</v>
      </c>
      <c r="J2153" s="71" t="s">
        <v>2460</v>
      </c>
    </row>
    <row r="2154" spans="1:10" ht="43.5" x14ac:dyDescent="0.35">
      <c r="A2154">
        <v>15</v>
      </c>
      <c r="B2154">
        <v>57</v>
      </c>
      <c r="C2154" t="s">
        <v>2679</v>
      </c>
      <c r="D2154" s="64">
        <f>VLOOKUP(C2154,'CHAS - Cook Co'!$C$1:$J$2762,2,FALSE) - VLOOKUP(C2154,'CHAS - Chicago'!$C$1:$J$2762,2,FALSE)</f>
        <v>1105</v>
      </c>
      <c r="E2154" t="s">
        <v>373</v>
      </c>
      <c r="F2154" s="71" t="s">
        <v>2508</v>
      </c>
      <c r="G2154" s="71" t="s">
        <v>2512</v>
      </c>
      <c r="H2154" s="71" t="s">
        <v>2645</v>
      </c>
      <c r="I2154" s="71" t="s">
        <v>1440</v>
      </c>
      <c r="J2154" s="71" t="s">
        <v>2463</v>
      </c>
    </row>
    <row r="2155" spans="1:10" ht="43.5" x14ac:dyDescent="0.35">
      <c r="A2155">
        <v>15</v>
      </c>
      <c r="B2155">
        <v>57</v>
      </c>
      <c r="C2155" t="s">
        <v>2677</v>
      </c>
      <c r="D2155" s="64">
        <f>VLOOKUP(C2155,'CHAS - Cook Co'!$C$1:$J$2762,2,FALSE) - VLOOKUP(C2155,'CHAS - Chicago'!$C$1:$J$2762,2,FALSE)</f>
        <v>1010</v>
      </c>
      <c r="E2155" t="s">
        <v>373</v>
      </c>
      <c r="F2155" s="71" t="s">
        <v>2510</v>
      </c>
      <c r="G2155" s="71" t="s">
        <v>2512</v>
      </c>
      <c r="H2155" s="71" t="s">
        <v>2645</v>
      </c>
      <c r="I2155" s="71" t="s">
        <v>1440</v>
      </c>
      <c r="J2155" s="71" t="s">
        <v>2463</v>
      </c>
    </row>
    <row r="2156" spans="1:10" ht="43.5" x14ac:dyDescent="0.35">
      <c r="A2156">
        <v>15</v>
      </c>
      <c r="B2156">
        <v>57</v>
      </c>
      <c r="C2156" t="s">
        <v>2678</v>
      </c>
      <c r="D2156" s="64">
        <f>VLOOKUP(C2156,'CHAS - Cook Co'!$C$1:$J$2762,2,FALSE) - VLOOKUP(C2156,'CHAS - Chicago'!$C$1:$J$2762,2,FALSE)</f>
        <v>13730</v>
      </c>
      <c r="E2156" t="s">
        <v>373</v>
      </c>
      <c r="F2156" s="71" t="s">
        <v>508</v>
      </c>
      <c r="G2156" s="71" t="s">
        <v>2512</v>
      </c>
      <c r="H2156" s="71" t="s">
        <v>2479</v>
      </c>
      <c r="I2156" s="71" t="s">
        <v>397</v>
      </c>
      <c r="J2156" s="71" t="s">
        <v>2463</v>
      </c>
    </row>
    <row r="2157" spans="1:10" ht="43.5" x14ac:dyDescent="0.35">
      <c r="A2157">
        <v>15</v>
      </c>
      <c r="B2157">
        <v>58</v>
      </c>
      <c r="C2157" t="s">
        <v>2680</v>
      </c>
      <c r="D2157" s="64">
        <f>VLOOKUP(C2157,'CHAS - Cook Co'!$C$1:$J$2762,2,FALSE) - VLOOKUP(C2157,'CHAS - Chicago'!$C$1:$J$2762,2,FALSE)</f>
        <v>5230</v>
      </c>
      <c r="E2157" t="s">
        <v>373</v>
      </c>
      <c r="F2157" s="71" t="s">
        <v>2508</v>
      </c>
      <c r="G2157" s="71" t="s">
        <v>2512</v>
      </c>
      <c r="H2157" s="71" t="s">
        <v>2645</v>
      </c>
      <c r="I2157" s="71" t="s">
        <v>1440</v>
      </c>
      <c r="J2157" s="71" t="s">
        <v>2466</v>
      </c>
    </row>
    <row r="2158" spans="1:10" ht="43.5" x14ac:dyDescent="0.35">
      <c r="A2158">
        <v>15</v>
      </c>
      <c r="B2158">
        <v>58</v>
      </c>
      <c r="C2158" t="s">
        <v>2682</v>
      </c>
      <c r="D2158" s="64">
        <f>VLOOKUP(C2158,'CHAS - Cook Co'!$C$1:$J$2762,2,FALSE) - VLOOKUP(C2158,'CHAS - Chicago'!$C$1:$J$2762,2,FALSE)</f>
        <v>3700</v>
      </c>
      <c r="E2158" t="s">
        <v>373</v>
      </c>
      <c r="F2158" s="71" t="s">
        <v>2510</v>
      </c>
      <c r="G2158" s="71" t="s">
        <v>2512</v>
      </c>
      <c r="H2158" s="71" t="s">
        <v>2645</v>
      </c>
      <c r="I2158" s="71" t="s">
        <v>1440</v>
      </c>
      <c r="J2158" s="71" t="s">
        <v>2466</v>
      </c>
    </row>
    <row r="2159" spans="1:10" ht="43.5" x14ac:dyDescent="0.35">
      <c r="A2159">
        <v>15</v>
      </c>
      <c r="B2159">
        <v>58</v>
      </c>
      <c r="C2159" t="s">
        <v>2681</v>
      </c>
      <c r="D2159" s="64">
        <f>VLOOKUP(C2159,'CHAS - Cook Co'!$C$1:$J$2762,2,FALSE) - VLOOKUP(C2159,'CHAS - Chicago'!$C$1:$J$2762,2,FALSE)</f>
        <v>6320</v>
      </c>
      <c r="E2159" t="s">
        <v>373</v>
      </c>
      <c r="F2159" s="71" t="s">
        <v>508</v>
      </c>
      <c r="G2159" s="71" t="s">
        <v>2512</v>
      </c>
      <c r="H2159" s="71" t="s">
        <v>2479</v>
      </c>
      <c r="I2159" s="71" t="s">
        <v>397</v>
      </c>
      <c r="J2159" s="71" t="s">
        <v>2466</v>
      </c>
    </row>
    <row r="2160" spans="1:10" ht="43.5" x14ac:dyDescent="0.35">
      <c r="A2160">
        <v>15</v>
      </c>
      <c r="B2160">
        <v>59</v>
      </c>
      <c r="C2160" t="s">
        <v>2685</v>
      </c>
      <c r="D2160" s="64">
        <f>VLOOKUP(C2160,'CHAS - Cook Co'!$C$1:$J$2762,2,FALSE) - VLOOKUP(C2160,'CHAS - Chicago'!$C$1:$J$2762,2,FALSE)</f>
        <v>5935</v>
      </c>
      <c r="E2160" t="s">
        <v>366</v>
      </c>
      <c r="F2160" s="71" t="s">
        <v>2508</v>
      </c>
      <c r="G2160" s="71" t="s">
        <v>2512</v>
      </c>
      <c r="H2160" s="71" t="s">
        <v>2645</v>
      </c>
      <c r="I2160" s="71" t="s">
        <v>1467</v>
      </c>
      <c r="J2160" s="71" t="s">
        <v>2443</v>
      </c>
    </row>
    <row r="2161" spans="1:10" ht="43.5" x14ac:dyDescent="0.35">
      <c r="A2161">
        <v>15</v>
      </c>
      <c r="B2161">
        <v>59</v>
      </c>
      <c r="C2161" t="s">
        <v>2683</v>
      </c>
      <c r="D2161" s="64">
        <f>VLOOKUP(C2161,'CHAS - Cook Co'!$C$1:$J$2762,2,FALSE) - VLOOKUP(C2161,'CHAS - Chicago'!$C$1:$J$2762,2,FALSE)</f>
        <v>2960</v>
      </c>
      <c r="E2161" t="s">
        <v>366</v>
      </c>
      <c r="F2161" s="71" t="s">
        <v>2510</v>
      </c>
      <c r="G2161" s="71" t="s">
        <v>2512</v>
      </c>
      <c r="H2161" s="71" t="s">
        <v>2645</v>
      </c>
      <c r="I2161" s="71" t="s">
        <v>1467</v>
      </c>
      <c r="J2161" s="71" t="s">
        <v>2443</v>
      </c>
    </row>
    <row r="2162" spans="1:10" ht="43.5" x14ac:dyDescent="0.35">
      <c r="A2162">
        <v>15</v>
      </c>
      <c r="B2162">
        <v>59</v>
      </c>
      <c r="C2162" t="s">
        <v>2684</v>
      </c>
      <c r="D2162" s="64">
        <f>VLOOKUP(C2162,'CHAS - Cook Co'!$C$1:$J$2762,2,FALSE) - VLOOKUP(C2162,'CHAS - Chicago'!$C$1:$J$2762,2,FALSE)</f>
        <v>16205</v>
      </c>
      <c r="E2162" t="s">
        <v>366</v>
      </c>
      <c r="F2162" s="71" t="s">
        <v>508</v>
      </c>
      <c r="G2162" s="71" t="s">
        <v>2512</v>
      </c>
      <c r="H2162" s="71" t="s">
        <v>2479</v>
      </c>
      <c r="I2162" s="71" t="s">
        <v>406</v>
      </c>
      <c r="J2162" s="71" t="s">
        <v>2443</v>
      </c>
    </row>
    <row r="2163" spans="1:10" ht="43.5" x14ac:dyDescent="0.35">
      <c r="A2163">
        <v>15</v>
      </c>
      <c r="B2163">
        <v>60</v>
      </c>
      <c r="C2163" t="s">
        <v>2688</v>
      </c>
      <c r="D2163" s="64">
        <f>VLOOKUP(C2163,'CHAS - Cook Co'!$C$1:$J$2762,2,FALSE) - VLOOKUP(C2163,'CHAS - Chicago'!$C$1:$J$2762,2,FALSE)</f>
        <v>210</v>
      </c>
      <c r="E2163" t="s">
        <v>373</v>
      </c>
      <c r="F2163" s="71" t="s">
        <v>2508</v>
      </c>
      <c r="G2163" s="71" t="s">
        <v>2512</v>
      </c>
      <c r="H2163" s="71" t="s">
        <v>2645</v>
      </c>
      <c r="I2163" s="71" t="s">
        <v>1467</v>
      </c>
      <c r="J2163" s="71" t="s">
        <v>2460</v>
      </c>
    </row>
    <row r="2164" spans="1:10" ht="43.5" x14ac:dyDescent="0.35">
      <c r="A2164">
        <v>15</v>
      </c>
      <c r="B2164">
        <v>60</v>
      </c>
      <c r="C2164" t="s">
        <v>2687</v>
      </c>
      <c r="D2164" s="64">
        <f>VLOOKUP(C2164,'CHAS - Cook Co'!$C$1:$J$2762,2,FALSE) - VLOOKUP(C2164,'CHAS - Chicago'!$C$1:$J$2762,2,FALSE)</f>
        <v>150</v>
      </c>
      <c r="E2164" t="s">
        <v>373</v>
      </c>
      <c r="F2164" s="71" t="s">
        <v>2510</v>
      </c>
      <c r="G2164" s="71" t="s">
        <v>2512</v>
      </c>
      <c r="H2164" s="71" t="s">
        <v>2645</v>
      </c>
      <c r="I2164" s="71" t="s">
        <v>1467</v>
      </c>
      <c r="J2164" s="71" t="s">
        <v>2460</v>
      </c>
    </row>
    <row r="2165" spans="1:10" ht="43.5" x14ac:dyDescent="0.35">
      <c r="A2165">
        <v>15</v>
      </c>
      <c r="B2165">
        <v>60</v>
      </c>
      <c r="C2165" t="s">
        <v>2686</v>
      </c>
      <c r="D2165" s="64">
        <f>VLOOKUP(C2165,'CHAS - Cook Co'!$C$1:$J$2762,2,FALSE) - VLOOKUP(C2165,'CHAS - Chicago'!$C$1:$J$2762,2,FALSE)</f>
        <v>5720</v>
      </c>
      <c r="E2165" t="s">
        <v>373</v>
      </c>
      <c r="F2165" s="71" t="s">
        <v>508</v>
      </c>
      <c r="G2165" s="71" t="s">
        <v>2512</v>
      </c>
      <c r="H2165" s="71" t="s">
        <v>2479</v>
      </c>
      <c r="I2165" s="71" t="s">
        <v>406</v>
      </c>
      <c r="J2165" s="71" t="s">
        <v>2460</v>
      </c>
    </row>
    <row r="2166" spans="1:10" ht="43.5" x14ac:dyDescent="0.35">
      <c r="A2166">
        <v>15</v>
      </c>
      <c r="B2166">
        <v>61</v>
      </c>
      <c r="C2166" t="s">
        <v>2690</v>
      </c>
      <c r="D2166" s="64">
        <f>VLOOKUP(C2166,'CHAS - Cook Co'!$C$1:$J$2762,2,FALSE) - VLOOKUP(C2166,'CHAS - Chicago'!$C$1:$J$2762,2,FALSE)</f>
        <v>785</v>
      </c>
      <c r="E2166" t="s">
        <v>373</v>
      </c>
      <c r="F2166" s="71" t="s">
        <v>2508</v>
      </c>
      <c r="G2166" s="71" t="s">
        <v>2512</v>
      </c>
      <c r="H2166" s="71" t="s">
        <v>2645</v>
      </c>
      <c r="I2166" s="71" t="s">
        <v>1467</v>
      </c>
      <c r="J2166" s="71" t="s">
        <v>2463</v>
      </c>
    </row>
    <row r="2167" spans="1:10" ht="43.5" x14ac:dyDescent="0.35">
      <c r="A2167">
        <v>15</v>
      </c>
      <c r="B2167">
        <v>61</v>
      </c>
      <c r="C2167" t="s">
        <v>2689</v>
      </c>
      <c r="D2167" s="64">
        <f>VLOOKUP(C2167,'CHAS - Cook Co'!$C$1:$J$2762,2,FALSE) - VLOOKUP(C2167,'CHAS - Chicago'!$C$1:$J$2762,2,FALSE)</f>
        <v>510</v>
      </c>
      <c r="E2167" t="s">
        <v>373</v>
      </c>
      <c r="F2167" s="71" t="s">
        <v>2510</v>
      </c>
      <c r="G2167" s="71" t="s">
        <v>2512</v>
      </c>
      <c r="H2167" s="71" t="s">
        <v>2645</v>
      </c>
      <c r="I2167" s="71" t="s">
        <v>1467</v>
      </c>
      <c r="J2167" s="71" t="s">
        <v>2463</v>
      </c>
    </row>
    <row r="2168" spans="1:10" ht="43.5" x14ac:dyDescent="0.35">
      <c r="A2168">
        <v>15</v>
      </c>
      <c r="B2168">
        <v>61</v>
      </c>
      <c r="C2168" t="s">
        <v>2691</v>
      </c>
      <c r="D2168" s="64">
        <f>VLOOKUP(C2168,'CHAS - Cook Co'!$C$1:$J$2762,2,FALSE) - VLOOKUP(C2168,'CHAS - Chicago'!$C$1:$J$2762,2,FALSE)</f>
        <v>6915</v>
      </c>
      <c r="E2168" t="s">
        <v>373</v>
      </c>
      <c r="F2168" s="71" t="s">
        <v>508</v>
      </c>
      <c r="G2168" s="71" t="s">
        <v>2512</v>
      </c>
      <c r="H2168" s="71" t="s">
        <v>2479</v>
      </c>
      <c r="I2168" s="71" t="s">
        <v>406</v>
      </c>
      <c r="J2168" s="71" t="s">
        <v>2463</v>
      </c>
    </row>
    <row r="2169" spans="1:10" ht="43.5" x14ac:dyDescent="0.35">
      <c r="A2169">
        <v>15</v>
      </c>
      <c r="B2169">
        <v>62</v>
      </c>
      <c r="C2169" t="s">
        <v>2694</v>
      </c>
      <c r="D2169" s="64">
        <f>VLOOKUP(C2169,'CHAS - Cook Co'!$C$1:$J$2762,2,FALSE) - VLOOKUP(C2169,'CHAS - Chicago'!$C$1:$J$2762,2,FALSE)</f>
        <v>4940</v>
      </c>
      <c r="E2169" t="s">
        <v>373</v>
      </c>
      <c r="F2169" s="71" t="s">
        <v>2508</v>
      </c>
      <c r="G2169" s="71" t="s">
        <v>2512</v>
      </c>
      <c r="H2169" s="71" t="s">
        <v>2645</v>
      </c>
      <c r="I2169" s="71" t="s">
        <v>1467</v>
      </c>
      <c r="J2169" s="71" t="s">
        <v>2466</v>
      </c>
    </row>
    <row r="2170" spans="1:10" ht="43.5" x14ac:dyDescent="0.35">
      <c r="A2170">
        <v>15</v>
      </c>
      <c r="B2170">
        <v>62</v>
      </c>
      <c r="C2170" t="s">
        <v>2692</v>
      </c>
      <c r="D2170" s="64">
        <f>VLOOKUP(C2170,'CHAS - Cook Co'!$C$1:$J$2762,2,FALSE) - VLOOKUP(C2170,'CHAS - Chicago'!$C$1:$J$2762,2,FALSE)</f>
        <v>2300</v>
      </c>
      <c r="E2170" t="s">
        <v>373</v>
      </c>
      <c r="F2170" s="71" t="s">
        <v>2510</v>
      </c>
      <c r="G2170" s="71" t="s">
        <v>2512</v>
      </c>
      <c r="H2170" s="71" t="s">
        <v>2645</v>
      </c>
      <c r="I2170" s="71" t="s">
        <v>1467</v>
      </c>
      <c r="J2170" s="71" t="s">
        <v>2466</v>
      </c>
    </row>
    <row r="2171" spans="1:10" ht="43.5" x14ac:dyDescent="0.35">
      <c r="A2171">
        <v>15</v>
      </c>
      <c r="B2171">
        <v>62</v>
      </c>
      <c r="C2171" t="s">
        <v>2693</v>
      </c>
      <c r="D2171" s="64">
        <f>VLOOKUP(C2171,'CHAS - Cook Co'!$C$1:$J$2762,2,FALSE) - VLOOKUP(C2171,'CHAS - Chicago'!$C$1:$J$2762,2,FALSE)</f>
        <v>3570</v>
      </c>
      <c r="E2171" t="s">
        <v>373</v>
      </c>
      <c r="F2171" s="71" t="s">
        <v>508</v>
      </c>
      <c r="G2171" s="71" t="s">
        <v>2512</v>
      </c>
      <c r="H2171" s="71" t="s">
        <v>2479</v>
      </c>
      <c r="I2171" s="71" t="s">
        <v>406</v>
      </c>
      <c r="J2171" s="71" t="s">
        <v>2466</v>
      </c>
    </row>
    <row r="2172" spans="1:10" ht="43.5" x14ac:dyDescent="0.35">
      <c r="A2172">
        <v>15</v>
      </c>
      <c r="B2172">
        <v>63</v>
      </c>
      <c r="C2172" t="s">
        <v>2696</v>
      </c>
      <c r="D2172" s="64">
        <f>VLOOKUP(C2172,'CHAS - Cook Co'!$C$1:$J$2762,2,FALSE) - VLOOKUP(C2172,'CHAS - Chicago'!$C$1:$J$2762,2,FALSE)</f>
        <v>39220</v>
      </c>
      <c r="E2172" t="s">
        <v>366</v>
      </c>
      <c r="F2172" s="71" t="s">
        <v>2508</v>
      </c>
      <c r="G2172" s="71" t="s">
        <v>2512</v>
      </c>
      <c r="H2172" s="71" t="s">
        <v>2645</v>
      </c>
      <c r="I2172" s="71" t="s">
        <v>1494</v>
      </c>
      <c r="J2172" s="71" t="s">
        <v>2443</v>
      </c>
    </row>
    <row r="2173" spans="1:10" ht="43.5" x14ac:dyDescent="0.35">
      <c r="A2173">
        <v>15</v>
      </c>
      <c r="B2173">
        <v>63</v>
      </c>
      <c r="C2173" t="s">
        <v>2695</v>
      </c>
      <c r="D2173" s="64">
        <f>VLOOKUP(C2173,'CHAS - Cook Co'!$C$1:$J$2762,2,FALSE) - VLOOKUP(C2173,'CHAS - Chicago'!$C$1:$J$2762,2,FALSE)</f>
        <v>12625</v>
      </c>
      <c r="E2173" t="s">
        <v>366</v>
      </c>
      <c r="F2173" s="71" t="s">
        <v>2510</v>
      </c>
      <c r="G2173" s="71" t="s">
        <v>2512</v>
      </c>
      <c r="H2173" s="71" t="s">
        <v>2645</v>
      </c>
      <c r="I2173" s="71" t="s">
        <v>1494</v>
      </c>
      <c r="J2173" s="71" t="s">
        <v>2443</v>
      </c>
    </row>
    <row r="2174" spans="1:10" ht="29" x14ac:dyDescent="0.35">
      <c r="A2174">
        <v>15</v>
      </c>
      <c r="B2174">
        <v>63</v>
      </c>
      <c r="C2174" t="s">
        <v>2697</v>
      </c>
      <c r="D2174" s="64">
        <f>VLOOKUP(C2174,'CHAS - Cook Co'!$C$1:$J$2762,2,FALSE) - VLOOKUP(C2174,'CHAS - Chicago'!$C$1:$J$2762,2,FALSE)</f>
        <v>32825</v>
      </c>
      <c r="E2174" t="s">
        <v>366</v>
      </c>
      <c r="F2174" s="71" t="s">
        <v>508</v>
      </c>
      <c r="G2174" s="71" t="s">
        <v>2512</v>
      </c>
      <c r="H2174" s="71" t="s">
        <v>2479</v>
      </c>
      <c r="I2174" s="71" t="s">
        <v>415</v>
      </c>
      <c r="J2174" s="71" t="s">
        <v>2443</v>
      </c>
    </row>
    <row r="2175" spans="1:10" ht="43.5" x14ac:dyDescent="0.35">
      <c r="A2175">
        <v>15</v>
      </c>
      <c r="B2175">
        <v>64</v>
      </c>
      <c r="C2175" t="s">
        <v>2698</v>
      </c>
      <c r="D2175" s="64">
        <f>VLOOKUP(C2175,'CHAS - Cook Co'!$C$1:$J$2762,2,FALSE) - VLOOKUP(C2175,'CHAS - Chicago'!$C$1:$J$2762,2,FALSE)</f>
        <v>425</v>
      </c>
      <c r="E2175" t="s">
        <v>373</v>
      </c>
      <c r="F2175" s="71" t="s">
        <v>2508</v>
      </c>
      <c r="G2175" s="71" t="s">
        <v>2512</v>
      </c>
      <c r="H2175" s="71" t="s">
        <v>2645</v>
      </c>
      <c r="I2175" s="71" t="s">
        <v>1494</v>
      </c>
      <c r="J2175" s="71" t="s">
        <v>2460</v>
      </c>
    </row>
    <row r="2176" spans="1:10" ht="43.5" x14ac:dyDescent="0.35">
      <c r="A2176">
        <v>15</v>
      </c>
      <c r="B2176">
        <v>64</v>
      </c>
      <c r="C2176" t="s">
        <v>2700</v>
      </c>
      <c r="D2176" s="64">
        <f>VLOOKUP(C2176,'CHAS - Cook Co'!$C$1:$J$2762,2,FALSE) - VLOOKUP(C2176,'CHAS - Chicago'!$C$1:$J$2762,2,FALSE)</f>
        <v>195</v>
      </c>
      <c r="E2176" t="s">
        <v>373</v>
      </c>
      <c r="F2176" s="71" t="s">
        <v>2510</v>
      </c>
      <c r="G2176" s="71" t="s">
        <v>2512</v>
      </c>
      <c r="H2176" s="71" t="s">
        <v>2645</v>
      </c>
      <c r="I2176" s="71" t="s">
        <v>1494</v>
      </c>
      <c r="J2176" s="71" t="s">
        <v>2460</v>
      </c>
    </row>
    <row r="2177" spans="1:10" ht="29" x14ac:dyDescent="0.35">
      <c r="A2177">
        <v>15</v>
      </c>
      <c r="B2177">
        <v>64</v>
      </c>
      <c r="C2177" t="s">
        <v>2699</v>
      </c>
      <c r="D2177" s="64">
        <f>VLOOKUP(C2177,'CHAS - Cook Co'!$C$1:$J$2762,2,FALSE) - VLOOKUP(C2177,'CHAS - Chicago'!$C$1:$J$2762,2,FALSE)</f>
        <v>9485</v>
      </c>
      <c r="E2177" t="s">
        <v>373</v>
      </c>
      <c r="F2177" s="71" t="s">
        <v>508</v>
      </c>
      <c r="G2177" s="71" t="s">
        <v>2512</v>
      </c>
      <c r="H2177" s="71" t="s">
        <v>2479</v>
      </c>
      <c r="I2177" s="71" t="s">
        <v>415</v>
      </c>
      <c r="J2177" s="71" t="s">
        <v>2460</v>
      </c>
    </row>
    <row r="2178" spans="1:10" ht="43.5" x14ac:dyDescent="0.35">
      <c r="A2178">
        <v>15</v>
      </c>
      <c r="B2178">
        <v>65</v>
      </c>
      <c r="C2178" t="s">
        <v>2703</v>
      </c>
      <c r="D2178" s="64">
        <f>VLOOKUP(C2178,'CHAS - Cook Co'!$C$1:$J$2762,2,FALSE) - VLOOKUP(C2178,'CHAS - Chicago'!$C$1:$J$2762,2,FALSE)</f>
        <v>5060</v>
      </c>
      <c r="E2178" t="s">
        <v>373</v>
      </c>
      <c r="F2178" s="71" t="s">
        <v>2508</v>
      </c>
      <c r="G2178" s="71" t="s">
        <v>2512</v>
      </c>
      <c r="H2178" s="71" t="s">
        <v>2645</v>
      </c>
      <c r="I2178" s="71" t="s">
        <v>1494</v>
      </c>
      <c r="J2178" s="71" t="s">
        <v>2463</v>
      </c>
    </row>
    <row r="2179" spans="1:10" ht="43.5" x14ac:dyDescent="0.35">
      <c r="A2179">
        <v>15</v>
      </c>
      <c r="B2179">
        <v>65</v>
      </c>
      <c r="C2179" t="s">
        <v>2701</v>
      </c>
      <c r="D2179" s="64">
        <f>VLOOKUP(C2179,'CHAS - Cook Co'!$C$1:$J$2762,2,FALSE) - VLOOKUP(C2179,'CHAS - Chicago'!$C$1:$J$2762,2,FALSE)</f>
        <v>1675</v>
      </c>
      <c r="E2179" t="s">
        <v>373</v>
      </c>
      <c r="F2179" s="71" t="s">
        <v>2510</v>
      </c>
      <c r="G2179" s="71" t="s">
        <v>2512</v>
      </c>
      <c r="H2179" s="71" t="s">
        <v>2645</v>
      </c>
      <c r="I2179" s="71" t="s">
        <v>1494</v>
      </c>
      <c r="J2179" s="71" t="s">
        <v>2463</v>
      </c>
    </row>
    <row r="2180" spans="1:10" ht="29" x14ac:dyDescent="0.35">
      <c r="A2180">
        <v>15</v>
      </c>
      <c r="B2180">
        <v>65</v>
      </c>
      <c r="C2180" t="s">
        <v>2702</v>
      </c>
      <c r="D2180" s="64">
        <f>VLOOKUP(C2180,'CHAS - Cook Co'!$C$1:$J$2762,2,FALSE) - VLOOKUP(C2180,'CHAS - Chicago'!$C$1:$J$2762,2,FALSE)</f>
        <v>15490</v>
      </c>
      <c r="E2180" t="s">
        <v>373</v>
      </c>
      <c r="F2180" s="71" t="s">
        <v>508</v>
      </c>
      <c r="G2180" s="71" t="s">
        <v>2512</v>
      </c>
      <c r="H2180" s="71" t="s">
        <v>2479</v>
      </c>
      <c r="I2180" s="71" t="s">
        <v>415</v>
      </c>
      <c r="J2180" s="71" t="s">
        <v>2463</v>
      </c>
    </row>
    <row r="2181" spans="1:10" ht="43.5" x14ac:dyDescent="0.35">
      <c r="A2181">
        <v>15</v>
      </c>
      <c r="B2181">
        <v>66</v>
      </c>
      <c r="C2181" t="s">
        <v>2706</v>
      </c>
      <c r="D2181" s="64">
        <f>VLOOKUP(C2181,'CHAS - Cook Co'!$C$1:$J$2762,2,FALSE) - VLOOKUP(C2181,'CHAS - Chicago'!$C$1:$J$2762,2,FALSE)</f>
        <v>33730</v>
      </c>
      <c r="E2181" t="s">
        <v>373</v>
      </c>
      <c r="F2181" s="71" t="s">
        <v>2508</v>
      </c>
      <c r="G2181" s="71" t="s">
        <v>2512</v>
      </c>
      <c r="H2181" s="71" t="s">
        <v>2645</v>
      </c>
      <c r="I2181" s="71" t="s">
        <v>1494</v>
      </c>
      <c r="J2181" s="71" t="s">
        <v>2466</v>
      </c>
    </row>
    <row r="2182" spans="1:10" ht="43.5" x14ac:dyDescent="0.35">
      <c r="A2182">
        <v>15</v>
      </c>
      <c r="B2182">
        <v>66</v>
      </c>
      <c r="C2182" t="s">
        <v>2704</v>
      </c>
      <c r="D2182" s="64">
        <f>VLOOKUP(C2182,'CHAS - Cook Co'!$C$1:$J$2762,2,FALSE) - VLOOKUP(C2182,'CHAS - Chicago'!$C$1:$J$2762,2,FALSE)</f>
        <v>10750</v>
      </c>
      <c r="E2182" t="s">
        <v>373</v>
      </c>
      <c r="F2182" s="71" t="s">
        <v>2510</v>
      </c>
      <c r="G2182" s="71" t="s">
        <v>2512</v>
      </c>
      <c r="H2182" s="71" t="s">
        <v>2645</v>
      </c>
      <c r="I2182" s="71" t="s">
        <v>1494</v>
      </c>
      <c r="J2182" s="71" t="s">
        <v>2466</v>
      </c>
    </row>
    <row r="2183" spans="1:10" ht="29" x14ac:dyDescent="0.35">
      <c r="A2183">
        <v>15</v>
      </c>
      <c r="B2183">
        <v>66</v>
      </c>
      <c r="C2183" t="s">
        <v>2705</v>
      </c>
      <c r="D2183" s="64">
        <f>VLOOKUP(C2183,'CHAS - Cook Co'!$C$1:$J$2762,2,FALSE) - VLOOKUP(C2183,'CHAS - Chicago'!$C$1:$J$2762,2,FALSE)</f>
        <v>7850</v>
      </c>
      <c r="E2183" t="s">
        <v>373</v>
      </c>
      <c r="F2183" s="71" t="s">
        <v>508</v>
      </c>
      <c r="G2183" s="71" t="s">
        <v>2512</v>
      </c>
      <c r="H2183" s="71" t="s">
        <v>2479</v>
      </c>
      <c r="I2183" s="71" t="s">
        <v>415</v>
      </c>
      <c r="J2183" s="71" t="s">
        <v>2466</v>
      </c>
    </row>
    <row r="2184" spans="1:10" ht="29" x14ac:dyDescent="0.35">
      <c r="A2184">
        <v>15</v>
      </c>
      <c r="B2184">
        <v>67</v>
      </c>
      <c r="C2184" t="s">
        <v>2707</v>
      </c>
      <c r="D2184" s="64">
        <f>VLOOKUP(C2184,'CHAS - Cook Co'!$C$1:$J$2762,2,FALSE) - VLOOKUP(C2184,'CHAS - Chicago'!$C$1:$J$2762,2,FALSE)</f>
        <v>126490</v>
      </c>
      <c r="E2184" t="s">
        <v>366</v>
      </c>
      <c r="F2184" s="71" t="s">
        <v>2508</v>
      </c>
      <c r="G2184" s="71" t="s">
        <v>2512</v>
      </c>
      <c r="H2184" s="71" t="s">
        <v>2708</v>
      </c>
      <c r="I2184" s="71" t="s">
        <v>363</v>
      </c>
      <c r="J2184" s="71" t="s">
        <v>2443</v>
      </c>
    </row>
    <row r="2185" spans="1:10" ht="29" x14ac:dyDescent="0.35">
      <c r="A2185">
        <v>15</v>
      </c>
      <c r="B2185">
        <v>67</v>
      </c>
      <c r="C2185" t="s">
        <v>2710</v>
      </c>
      <c r="D2185" s="64">
        <f>VLOOKUP(C2185,'CHAS - Cook Co'!$C$1:$J$2762,2,FALSE) - VLOOKUP(C2185,'CHAS - Chicago'!$C$1:$J$2762,2,FALSE)</f>
        <v>62530</v>
      </c>
      <c r="E2185" t="s">
        <v>366</v>
      </c>
      <c r="F2185" s="71" t="s">
        <v>2510</v>
      </c>
      <c r="G2185" s="71" t="s">
        <v>2512</v>
      </c>
      <c r="H2185" s="71" t="s">
        <v>2708</v>
      </c>
      <c r="I2185" s="71" t="s">
        <v>363</v>
      </c>
      <c r="J2185" s="71" t="s">
        <v>2443</v>
      </c>
    </row>
    <row r="2186" spans="1:10" ht="29" x14ac:dyDescent="0.35">
      <c r="A2186">
        <v>15</v>
      </c>
      <c r="B2186">
        <v>67</v>
      </c>
      <c r="C2186" t="s">
        <v>2709</v>
      </c>
      <c r="D2186" s="64">
        <f>VLOOKUP(C2186,'CHAS - Cook Co'!$C$1:$J$2762,2,FALSE) - VLOOKUP(C2186,'CHAS - Chicago'!$C$1:$J$2762,2,FALSE)</f>
        <v>35160</v>
      </c>
      <c r="E2186" t="s">
        <v>366</v>
      </c>
      <c r="F2186" s="71" t="s">
        <v>508</v>
      </c>
      <c r="G2186" s="71" t="s">
        <v>2512</v>
      </c>
      <c r="H2186" s="71" t="s">
        <v>2491</v>
      </c>
      <c r="I2186" s="71" t="s">
        <v>363</v>
      </c>
      <c r="J2186" s="71" t="s">
        <v>2443</v>
      </c>
    </row>
    <row r="2187" spans="1:10" ht="43.5" x14ac:dyDescent="0.35">
      <c r="A2187">
        <v>15</v>
      </c>
      <c r="B2187">
        <v>68</v>
      </c>
      <c r="C2187" t="s">
        <v>2713</v>
      </c>
      <c r="D2187" s="64">
        <f>VLOOKUP(C2187,'CHAS - Cook Co'!$C$1:$J$2762,2,FALSE) - VLOOKUP(C2187,'CHAS - Chicago'!$C$1:$J$2762,2,FALSE)</f>
        <v>3390</v>
      </c>
      <c r="E2187" t="s">
        <v>366</v>
      </c>
      <c r="F2187" s="71" t="s">
        <v>2508</v>
      </c>
      <c r="G2187" s="71" t="s">
        <v>2512</v>
      </c>
      <c r="H2187" s="71" t="s">
        <v>2708</v>
      </c>
      <c r="I2187" s="71" t="s">
        <v>1377</v>
      </c>
      <c r="J2187" s="71" t="s">
        <v>2443</v>
      </c>
    </row>
    <row r="2188" spans="1:10" ht="43.5" x14ac:dyDescent="0.35">
      <c r="A2188">
        <v>15</v>
      </c>
      <c r="B2188">
        <v>68</v>
      </c>
      <c r="C2188" t="s">
        <v>2711</v>
      </c>
      <c r="D2188" s="64">
        <f>VLOOKUP(C2188,'CHAS - Cook Co'!$C$1:$J$2762,2,FALSE) - VLOOKUP(C2188,'CHAS - Chicago'!$C$1:$J$2762,2,FALSE)</f>
        <v>4715</v>
      </c>
      <c r="E2188" t="s">
        <v>366</v>
      </c>
      <c r="F2188" s="71" t="s">
        <v>2510</v>
      </c>
      <c r="G2188" s="71" t="s">
        <v>2512</v>
      </c>
      <c r="H2188" s="71" t="s">
        <v>2708</v>
      </c>
      <c r="I2188" s="71" t="s">
        <v>1377</v>
      </c>
      <c r="J2188" s="71" t="s">
        <v>2443</v>
      </c>
    </row>
    <row r="2189" spans="1:10" ht="29" x14ac:dyDescent="0.35">
      <c r="A2189">
        <v>15</v>
      </c>
      <c r="B2189">
        <v>68</v>
      </c>
      <c r="C2189" t="s">
        <v>2712</v>
      </c>
      <c r="D2189" s="64">
        <f>VLOOKUP(C2189,'CHAS - Cook Co'!$C$1:$J$2762,2,FALSE) - VLOOKUP(C2189,'CHAS - Chicago'!$C$1:$J$2762,2,FALSE)</f>
        <v>4585</v>
      </c>
      <c r="E2189" t="s">
        <v>366</v>
      </c>
      <c r="F2189" s="71" t="s">
        <v>508</v>
      </c>
      <c r="G2189" s="71" t="s">
        <v>2512</v>
      </c>
      <c r="H2189" s="71" t="s">
        <v>2491</v>
      </c>
      <c r="I2189" s="71" t="s">
        <v>371</v>
      </c>
      <c r="J2189" s="71" t="s">
        <v>2443</v>
      </c>
    </row>
    <row r="2190" spans="1:10" ht="43.5" x14ac:dyDescent="0.35">
      <c r="A2190">
        <v>15</v>
      </c>
      <c r="B2190">
        <v>69</v>
      </c>
      <c r="C2190" t="s">
        <v>2714</v>
      </c>
      <c r="D2190" s="64">
        <f>VLOOKUP(C2190,'CHAS - Cook Co'!$C$1:$J$2762,2,FALSE) - VLOOKUP(C2190,'CHAS - Chicago'!$C$1:$J$2762,2,FALSE)</f>
        <v>55</v>
      </c>
      <c r="E2190" t="s">
        <v>373</v>
      </c>
      <c r="F2190" s="71" t="s">
        <v>2508</v>
      </c>
      <c r="G2190" s="71" t="s">
        <v>2512</v>
      </c>
      <c r="H2190" s="71" t="s">
        <v>2708</v>
      </c>
      <c r="I2190" s="71" t="s">
        <v>1377</v>
      </c>
      <c r="J2190" s="71" t="s">
        <v>2460</v>
      </c>
    </row>
    <row r="2191" spans="1:10" ht="43.5" x14ac:dyDescent="0.35">
      <c r="A2191">
        <v>15</v>
      </c>
      <c r="B2191">
        <v>69</v>
      </c>
      <c r="C2191" t="s">
        <v>2715</v>
      </c>
      <c r="D2191" s="64">
        <f>VLOOKUP(C2191,'CHAS - Cook Co'!$C$1:$J$2762,2,FALSE) - VLOOKUP(C2191,'CHAS - Chicago'!$C$1:$J$2762,2,FALSE)</f>
        <v>230</v>
      </c>
      <c r="E2191" t="s">
        <v>373</v>
      </c>
      <c r="F2191" s="71" t="s">
        <v>2510</v>
      </c>
      <c r="G2191" s="71" t="s">
        <v>2512</v>
      </c>
      <c r="H2191" s="71" t="s">
        <v>2708</v>
      </c>
      <c r="I2191" s="71" t="s">
        <v>1377</v>
      </c>
      <c r="J2191" s="71" t="s">
        <v>2460</v>
      </c>
    </row>
    <row r="2192" spans="1:10" ht="29" x14ac:dyDescent="0.35">
      <c r="A2192">
        <v>15</v>
      </c>
      <c r="B2192">
        <v>69</v>
      </c>
      <c r="C2192" t="s">
        <v>2716</v>
      </c>
      <c r="D2192" s="64">
        <f>VLOOKUP(C2192,'CHAS - Cook Co'!$C$1:$J$2762,2,FALSE) - VLOOKUP(C2192,'CHAS - Chicago'!$C$1:$J$2762,2,FALSE)</f>
        <v>1555</v>
      </c>
      <c r="E2192" t="s">
        <v>373</v>
      </c>
      <c r="F2192" s="71" t="s">
        <v>508</v>
      </c>
      <c r="G2192" s="71" t="s">
        <v>2512</v>
      </c>
      <c r="H2192" s="71" t="s">
        <v>2491</v>
      </c>
      <c r="I2192" s="71" t="s">
        <v>371</v>
      </c>
      <c r="J2192" s="71" t="s">
        <v>2460</v>
      </c>
    </row>
    <row r="2193" spans="1:10" ht="43.5" x14ac:dyDescent="0.35">
      <c r="A2193">
        <v>15</v>
      </c>
      <c r="B2193">
        <v>70</v>
      </c>
      <c r="C2193" t="s">
        <v>2717</v>
      </c>
      <c r="D2193" s="64">
        <f>VLOOKUP(C2193,'CHAS - Cook Co'!$C$1:$J$2762,2,FALSE) - VLOOKUP(C2193,'CHAS - Chicago'!$C$1:$J$2762,2,FALSE)</f>
        <v>550</v>
      </c>
      <c r="E2193" t="s">
        <v>373</v>
      </c>
      <c r="F2193" s="71" t="s">
        <v>2508</v>
      </c>
      <c r="G2193" s="71" t="s">
        <v>2512</v>
      </c>
      <c r="H2193" s="71" t="s">
        <v>2708</v>
      </c>
      <c r="I2193" s="71" t="s">
        <v>1377</v>
      </c>
      <c r="J2193" s="71" t="s">
        <v>2463</v>
      </c>
    </row>
    <row r="2194" spans="1:10" ht="43.5" x14ac:dyDescent="0.35">
      <c r="A2194">
        <v>15</v>
      </c>
      <c r="B2194">
        <v>70</v>
      </c>
      <c r="C2194" t="s">
        <v>2719</v>
      </c>
      <c r="D2194" s="64">
        <f>VLOOKUP(C2194,'CHAS - Cook Co'!$C$1:$J$2762,2,FALSE) - VLOOKUP(C2194,'CHAS - Chicago'!$C$1:$J$2762,2,FALSE)</f>
        <v>1130</v>
      </c>
      <c r="E2194" t="s">
        <v>373</v>
      </c>
      <c r="F2194" s="71" t="s">
        <v>2510</v>
      </c>
      <c r="G2194" s="71" t="s">
        <v>2512</v>
      </c>
      <c r="H2194" s="71" t="s">
        <v>2708</v>
      </c>
      <c r="I2194" s="71" t="s">
        <v>1377</v>
      </c>
      <c r="J2194" s="71" t="s">
        <v>2463</v>
      </c>
    </row>
    <row r="2195" spans="1:10" ht="29" x14ac:dyDescent="0.35">
      <c r="A2195">
        <v>15</v>
      </c>
      <c r="B2195">
        <v>70</v>
      </c>
      <c r="C2195" t="s">
        <v>2718</v>
      </c>
      <c r="D2195" s="64">
        <f>VLOOKUP(C2195,'CHAS - Cook Co'!$C$1:$J$2762,2,FALSE) - VLOOKUP(C2195,'CHAS - Chicago'!$C$1:$J$2762,2,FALSE)</f>
        <v>1470</v>
      </c>
      <c r="E2195" t="s">
        <v>373</v>
      </c>
      <c r="F2195" s="71" t="s">
        <v>508</v>
      </c>
      <c r="G2195" s="71" t="s">
        <v>2512</v>
      </c>
      <c r="H2195" s="71" t="s">
        <v>2491</v>
      </c>
      <c r="I2195" s="71" t="s">
        <v>371</v>
      </c>
      <c r="J2195" s="71" t="s">
        <v>2463</v>
      </c>
    </row>
    <row r="2196" spans="1:10" ht="43.5" x14ac:dyDescent="0.35">
      <c r="A2196">
        <v>15</v>
      </c>
      <c r="B2196">
        <v>71</v>
      </c>
      <c r="C2196" t="s">
        <v>2720</v>
      </c>
      <c r="D2196" s="64">
        <f>VLOOKUP(C2196,'CHAS - Cook Co'!$C$1:$J$2762,2,FALSE) - VLOOKUP(C2196,'CHAS - Chicago'!$C$1:$J$2762,2,FALSE)</f>
        <v>2785</v>
      </c>
      <c r="E2196" t="s">
        <v>373</v>
      </c>
      <c r="F2196" s="71" t="s">
        <v>2508</v>
      </c>
      <c r="G2196" s="71" t="s">
        <v>2512</v>
      </c>
      <c r="H2196" s="71" t="s">
        <v>2708</v>
      </c>
      <c r="I2196" s="71" t="s">
        <v>1377</v>
      </c>
      <c r="J2196" s="71" t="s">
        <v>2466</v>
      </c>
    </row>
    <row r="2197" spans="1:10" ht="43.5" x14ac:dyDescent="0.35">
      <c r="A2197">
        <v>15</v>
      </c>
      <c r="B2197">
        <v>71</v>
      </c>
      <c r="C2197" t="s">
        <v>2722</v>
      </c>
      <c r="D2197" s="64">
        <f>VLOOKUP(C2197,'CHAS - Cook Co'!$C$1:$J$2762,2,FALSE) - VLOOKUP(C2197,'CHAS - Chicago'!$C$1:$J$2762,2,FALSE)</f>
        <v>3355</v>
      </c>
      <c r="E2197" t="s">
        <v>373</v>
      </c>
      <c r="F2197" s="71" t="s">
        <v>2510</v>
      </c>
      <c r="G2197" s="71" t="s">
        <v>2512</v>
      </c>
      <c r="H2197" s="71" t="s">
        <v>2708</v>
      </c>
      <c r="I2197" s="71" t="s">
        <v>1377</v>
      </c>
      <c r="J2197" s="71" t="s">
        <v>2466</v>
      </c>
    </row>
    <row r="2198" spans="1:10" ht="29" x14ac:dyDescent="0.35">
      <c r="A2198">
        <v>15</v>
      </c>
      <c r="B2198">
        <v>71</v>
      </c>
      <c r="C2198" t="s">
        <v>2721</v>
      </c>
      <c r="D2198" s="64">
        <f>VLOOKUP(C2198,'CHAS - Cook Co'!$C$1:$J$2762,2,FALSE) - VLOOKUP(C2198,'CHAS - Chicago'!$C$1:$J$2762,2,FALSE)</f>
        <v>1555</v>
      </c>
      <c r="E2198" t="s">
        <v>373</v>
      </c>
      <c r="F2198" s="71" t="s">
        <v>508</v>
      </c>
      <c r="G2198" s="71" t="s">
        <v>2512</v>
      </c>
      <c r="H2198" s="71" t="s">
        <v>2491</v>
      </c>
      <c r="I2198" s="71" t="s">
        <v>371</v>
      </c>
      <c r="J2198" s="71" t="s">
        <v>2466</v>
      </c>
    </row>
    <row r="2199" spans="1:10" ht="43.5" x14ac:dyDescent="0.35">
      <c r="A2199">
        <v>15</v>
      </c>
      <c r="B2199">
        <v>72</v>
      </c>
      <c r="C2199" t="s">
        <v>2724</v>
      </c>
      <c r="D2199" s="64">
        <f>VLOOKUP(C2199,'CHAS - Cook Co'!$C$1:$J$2762,2,FALSE) - VLOOKUP(C2199,'CHAS - Chicago'!$C$1:$J$2762,2,FALSE)</f>
        <v>4265</v>
      </c>
      <c r="E2199" t="s">
        <v>366</v>
      </c>
      <c r="F2199" s="71" t="s">
        <v>2508</v>
      </c>
      <c r="G2199" s="71" t="s">
        <v>2512</v>
      </c>
      <c r="H2199" s="71" t="s">
        <v>2708</v>
      </c>
      <c r="I2199" s="71" t="s">
        <v>1413</v>
      </c>
      <c r="J2199" s="71" t="s">
        <v>2443</v>
      </c>
    </row>
    <row r="2200" spans="1:10" ht="43.5" x14ac:dyDescent="0.35">
      <c r="A2200">
        <v>15</v>
      </c>
      <c r="B2200">
        <v>72</v>
      </c>
      <c r="C2200" t="s">
        <v>2725</v>
      </c>
      <c r="D2200" s="64">
        <f>VLOOKUP(C2200,'CHAS - Cook Co'!$C$1:$J$2762,2,FALSE) - VLOOKUP(C2200,'CHAS - Chicago'!$C$1:$J$2762,2,FALSE)</f>
        <v>5910</v>
      </c>
      <c r="E2200" t="s">
        <v>366</v>
      </c>
      <c r="F2200" s="71" t="s">
        <v>2510</v>
      </c>
      <c r="G2200" s="71" t="s">
        <v>2512</v>
      </c>
      <c r="H2200" s="71" t="s">
        <v>2708</v>
      </c>
      <c r="I2200" s="71" t="s">
        <v>1413</v>
      </c>
      <c r="J2200" s="71" t="s">
        <v>2443</v>
      </c>
    </row>
    <row r="2201" spans="1:10" ht="43.5" x14ac:dyDescent="0.35">
      <c r="A2201">
        <v>15</v>
      </c>
      <c r="B2201">
        <v>72</v>
      </c>
      <c r="C2201" t="s">
        <v>2723</v>
      </c>
      <c r="D2201" s="64">
        <f>VLOOKUP(C2201,'CHAS - Cook Co'!$C$1:$J$2762,2,FALSE) - VLOOKUP(C2201,'CHAS - Chicago'!$C$1:$J$2762,2,FALSE)</f>
        <v>3600</v>
      </c>
      <c r="E2201" t="s">
        <v>366</v>
      </c>
      <c r="F2201" s="71" t="s">
        <v>508</v>
      </c>
      <c r="G2201" s="71" t="s">
        <v>2512</v>
      </c>
      <c r="H2201" s="71" t="s">
        <v>2491</v>
      </c>
      <c r="I2201" s="71" t="s">
        <v>388</v>
      </c>
      <c r="J2201" s="71" t="s">
        <v>2443</v>
      </c>
    </row>
    <row r="2202" spans="1:10" ht="43.5" x14ac:dyDescent="0.35">
      <c r="A2202">
        <v>15</v>
      </c>
      <c r="B2202">
        <v>73</v>
      </c>
      <c r="C2202" t="s">
        <v>2726</v>
      </c>
      <c r="D2202" s="64">
        <f>VLOOKUP(C2202,'CHAS - Cook Co'!$C$1:$J$2762,2,FALSE) - VLOOKUP(C2202,'CHAS - Chicago'!$C$1:$J$2762,2,FALSE)</f>
        <v>80</v>
      </c>
      <c r="E2202" t="s">
        <v>373</v>
      </c>
      <c r="F2202" s="71" t="s">
        <v>2508</v>
      </c>
      <c r="G2202" s="71" t="s">
        <v>2512</v>
      </c>
      <c r="H2202" s="71" t="s">
        <v>2708</v>
      </c>
      <c r="I2202" s="71" t="s">
        <v>1413</v>
      </c>
      <c r="J2202" s="71" t="s">
        <v>2460</v>
      </c>
    </row>
    <row r="2203" spans="1:10" ht="43.5" x14ac:dyDescent="0.35">
      <c r="A2203">
        <v>15</v>
      </c>
      <c r="B2203">
        <v>73</v>
      </c>
      <c r="C2203" t="s">
        <v>2727</v>
      </c>
      <c r="D2203" s="64">
        <f>VLOOKUP(C2203,'CHAS - Cook Co'!$C$1:$J$2762,2,FALSE) - VLOOKUP(C2203,'CHAS - Chicago'!$C$1:$J$2762,2,FALSE)</f>
        <v>265</v>
      </c>
      <c r="E2203" t="s">
        <v>373</v>
      </c>
      <c r="F2203" s="71" t="s">
        <v>2510</v>
      </c>
      <c r="G2203" s="71" t="s">
        <v>2512</v>
      </c>
      <c r="H2203" s="71" t="s">
        <v>2708</v>
      </c>
      <c r="I2203" s="71" t="s">
        <v>1413</v>
      </c>
      <c r="J2203" s="71" t="s">
        <v>2460</v>
      </c>
    </row>
    <row r="2204" spans="1:10" ht="43.5" x14ac:dyDescent="0.35">
      <c r="A2204">
        <v>15</v>
      </c>
      <c r="B2204">
        <v>73</v>
      </c>
      <c r="C2204" t="s">
        <v>2728</v>
      </c>
      <c r="D2204" s="64">
        <f>VLOOKUP(C2204,'CHAS - Cook Co'!$C$1:$J$2762,2,FALSE) - VLOOKUP(C2204,'CHAS - Chicago'!$C$1:$J$2762,2,FALSE)</f>
        <v>1075</v>
      </c>
      <c r="E2204" t="s">
        <v>373</v>
      </c>
      <c r="F2204" s="71" t="s">
        <v>508</v>
      </c>
      <c r="G2204" s="71" t="s">
        <v>2512</v>
      </c>
      <c r="H2204" s="71" t="s">
        <v>2491</v>
      </c>
      <c r="I2204" s="71" t="s">
        <v>388</v>
      </c>
      <c r="J2204" s="71" t="s">
        <v>2460</v>
      </c>
    </row>
    <row r="2205" spans="1:10" ht="43.5" x14ac:dyDescent="0.35">
      <c r="A2205">
        <v>15</v>
      </c>
      <c r="B2205">
        <v>74</v>
      </c>
      <c r="C2205" t="s">
        <v>2731</v>
      </c>
      <c r="D2205" s="64">
        <f>VLOOKUP(C2205,'CHAS - Cook Co'!$C$1:$J$2762,2,FALSE) - VLOOKUP(C2205,'CHAS - Chicago'!$C$1:$J$2762,2,FALSE)</f>
        <v>740</v>
      </c>
      <c r="E2205" t="s">
        <v>373</v>
      </c>
      <c r="F2205" s="71" t="s">
        <v>2508</v>
      </c>
      <c r="G2205" s="71" t="s">
        <v>2512</v>
      </c>
      <c r="H2205" s="71" t="s">
        <v>2708</v>
      </c>
      <c r="I2205" s="71" t="s">
        <v>1413</v>
      </c>
      <c r="J2205" s="71" t="s">
        <v>2463</v>
      </c>
    </row>
    <row r="2206" spans="1:10" ht="43.5" x14ac:dyDescent="0.35">
      <c r="A2206">
        <v>15</v>
      </c>
      <c r="B2206">
        <v>74</v>
      </c>
      <c r="C2206" t="s">
        <v>2730</v>
      </c>
      <c r="D2206" s="64">
        <f>VLOOKUP(C2206,'CHAS - Cook Co'!$C$1:$J$2762,2,FALSE) - VLOOKUP(C2206,'CHAS - Chicago'!$C$1:$J$2762,2,FALSE)</f>
        <v>1440</v>
      </c>
      <c r="E2206" t="s">
        <v>373</v>
      </c>
      <c r="F2206" s="71" t="s">
        <v>2510</v>
      </c>
      <c r="G2206" s="71" t="s">
        <v>2512</v>
      </c>
      <c r="H2206" s="71" t="s">
        <v>2708</v>
      </c>
      <c r="I2206" s="71" t="s">
        <v>1413</v>
      </c>
      <c r="J2206" s="71" t="s">
        <v>2463</v>
      </c>
    </row>
    <row r="2207" spans="1:10" ht="43.5" x14ac:dyDescent="0.35">
      <c r="A2207">
        <v>15</v>
      </c>
      <c r="B2207">
        <v>74</v>
      </c>
      <c r="C2207" t="s">
        <v>2729</v>
      </c>
      <c r="D2207" s="64">
        <f>VLOOKUP(C2207,'CHAS - Cook Co'!$C$1:$J$2762,2,FALSE) - VLOOKUP(C2207,'CHAS - Chicago'!$C$1:$J$2762,2,FALSE)</f>
        <v>1255</v>
      </c>
      <c r="E2207" t="s">
        <v>373</v>
      </c>
      <c r="F2207" s="71" t="s">
        <v>508</v>
      </c>
      <c r="G2207" s="71" t="s">
        <v>2512</v>
      </c>
      <c r="H2207" s="71" t="s">
        <v>2491</v>
      </c>
      <c r="I2207" s="71" t="s">
        <v>388</v>
      </c>
      <c r="J2207" s="71" t="s">
        <v>2463</v>
      </c>
    </row>
    <row r="2208" spans="1:10" ht="43.5" x14ac:dyDescent="0.35">
      <c r="A2208">
        <v>15</v>
      </c>
      <c r="B2208">
        <v>75</v>
      </c>
      <c r="C2208" t="s">
        <v>2733</v>
      </c>
      <c r="D2208" s="64">
        <f>VLOOKUP(C2208,'CHAS - Cook Co'!$C$1:$J$2762,2,FALSE) - VLOOKUP(C2208,'CHAS - Chicago'!$C$1:$J$2762,2,FALSE)</f>
        <v>3440</v>
      </c>
      <c r="E2208" t="s">
        <v>373</v>
      </c>
      <c r="F2208" s="71" t="s">
        <v>2508</v>
      </c>
      <c r="G2208" s="71" t="s">
        <v>2512</v>
      </c>
      <c r="H2208" s="71" t="s">
        <v>2708</v>
      </c>
      <c r="I2208" s="71" t="s">
        <v>1413</v>
      </c>
      <c r="J2208" s="71" t="s">
        <v>2466</v>
      </c>
    </row>
    <row r="2209" spans="1:10" ht="43.5" x14ac:dyDescent="0.35">
      <c r="A2209">
        <v>15</v>
      </c>
      <c r="B2209">
        <v>75</v>
      </c>
      <c r="C2209" t="s">
        <v>2734</v>
      </c>
      <c r="D2209" s="64">
        <f>VLOOKUP(C2209,'CHAS - Cook Co'!$C$1:$J$2762,2,FALSE) - VLOOKUP(C2209,'CHAS - Chicago'!$C$1:$J$2762,2,FALSE)</f>
        <v>4210</v>
      </c>
      <c r="E2209" t="s">
        <v>373</v>
      </c>
      <c r="F2209" s="71" t="s">
        <v>2510</v>
      </c>
      <c r="G2209" s="71" t="s">
        <v>2512</v>
      </c>
      <c r="H2209" s="71" t="s">
        <v>2708</v>
      </c>
      <c r="I2209" s="71" t="s">
        <v>1413</v>
      </c>
      <c r="J2209" s="71" t="s">
        <v>2466</v>
      </c>
    </row>
    <row r="2210" spans="1:10" ht="43.5" x14ac:dyDescent="0.35">
      <c r="A2210">
        <v>15</v>
      </c>
      <c r="B2210">
        <v>75</v>
      </c>
      <c r="C2210" t="s">
        <v>2732</v>
      </c>
      <c r="D2210" s="64">
        <f>VLOOKUP(C2210,'CHAS - Cook Co'!$C$1:$J$2762,2,FALSE) - VLOOKUP(C2210,'CHAS - Chicago'!$C$1:$J$2762,2,FALSE)</f>
        <v>1265</v>
      </c>
      <c r="E2210" t="s">
        <v>373</v>
      </c>
      <c r="F2210" s="71" t="s">
        <v>508</v>
      </c>
      <c r="G2210" s="71" t="s">
        <v>2512</v>
      </c>
      <c r="H2210" s="71" t="s">
        <v>2491</v>
      </c>
      <c r="I2210" s="71" t="s">
        <v>388</v>
      </c>
      <c r="J2210" s="71" t="s">
        <v>2466</v>
      </c>
    </row>
    <row r="2211" spans="1:10" ht="43.5" x14ac:dyDescent="0.35">
      <c r="A2211">
        <v>15</v>
      </c>
      <c r="B2211">
        <v>76</v>
      </c>
      <c r="C2211" t="s">
        <v>2736</v>
      </c>
      <c r="D2211" s="64">
        <f>VLOOKUP(C2211,'CHAS - Cook Co'!$C$1:$J$2762,2,FALSE) - VLOOKUP(C2211,'CHAS - Chicago'!$C$1:$J$2762,2,FALSE)</f>
        <v>8130</v>
      </c>
      <c r="E2211" t="s">
        <v>366</v>
      </c>
      <c r="F2211" s="71" t="s">
        <v>2508</v>
      </c>
      <c r="G2211" s="71" t="s">
        <v>2512</v>
      </c>
      <c r="H2211" s="71" t="s">
        <v>2708</v>
      </c>
      <c r="I2211" s="71" t="s">
        <v>1440</v>
      </c>
      <c r="J2211" s="71" t="s">
        <v>2443</v>
      </c>
    </row>
    <row r="2212" spans="1:10" ht="43.5" x14ac:dyDescent="0.35">
      <c r="A2212">
        <v>15</v>
      </c>
      <c r="B2212">
        <v>76</v>
      </c>
      <c r="C2212" t="s">
        <v>2737</v>
      </c>
      <c r="D2212" s="64">
        <f>VLOOKUP(C2212,'CHAS - Cook Co'!$C$1:$J$2762,2,FALSE) - VLOOKUP(C2212,'CHAS - Chicago'!$C$1:$J$2762,2,FALSE)</f>
        <v>8135</v>
      </c>
      <c r="E2212" t="s">
        <v>366</v>
      </c>
      <c r="F2212" s="71" t="s">
        <v>2510</v>
      </c>
      <c r="G2212" s="71" t="s">
        <v>2512</v>
      </c>
      <c r="H2212" s="71" t="s">
        <v>2708</v>
      </c>
      <c r="I2212" s="71" t="s">
        <v>1440</v>
      </c>
      <c r="J2212" s="71" t="s">
        <v>2443</v>
      </c>
    </row>
    <row r="2213" spans="1:10" ht="43.5" x14ac:dyDescent="0.35">
      <c r="A2213">
        <v>15</v>
      </c>
      <c r="B2213">
        <v>76</v>
      </c>
      <c r="C2213" t="s">
        <v>2735</v>
      </c>
      <c r="D2213" s="64">
        <f>VLOOKUP(C2213,'CHAS - Cook Co'!$C$1:$J$2762,2,FALSE) - VLOOKUP(C2213,'CHAS - Chicago'!$C$1:$J$2762,2,FALSE)</f>
        <v>5050</v>
      </c>
      <c r="E2213" t="s">
        <v>366</v>
      </c>
      <c r="F2213" s="71" t="s">
        <v>508</v>
      </c>
      <c r="G2213" s="71" t="s">
        <v>2512</v>
      </c>
      <c r="H2213" s="71" t="s">
        <v>2491</v>
      </c>
      <c r="I2213" s="71" t="s">
        <v>397</v>
      </c>
      <c r="J2213" s="71" t="s">
        <v>2443</v>
      </c>
    </row>
    <row r="2214" spans="1:10" ht="43.5" x14ac:dyDescent="0.35">
      <c r="A2214">
        <v>15</v>
      </c>
      <c r="B2214">
        <v>77</v>
      </c>
      <c r="C2214" t="s">
        <v>2740</v>
      </c>
      <c r="D2214" s="64">
        <f>VLOOKUP(C2214,'CHAS - Cook Co'!$C$1:$J$2762,2,FALSE) - VLOOKUP(C2214,'CHAS - Chicago'!$C$1:$J$2762,2,FALSE)</f>
        <v>155</v>
      </c>
      <c r="E2214" t="s">
        <v>373</v>
      </c>
      <c r="F2214" s="71" t="s">
        <v>2508</v>
      </c>
      <c r="G2214" s="71" t="s">
        <v>2512</v>
      </c>
      <c r="H2214" s="71" t="s">
        <v>2708</v>
      </c>
      <c r="I2214" s="71" t="s">
        <v>1440</v>
      </c>
      <c r="J2214" s="71" t="s">
        <v>2460</v>
      </c>
    </row>
    <row r="2215" spans="1:10" ht="43.5" x14ac:dyDescent="0.35">
      <c r="A2215">
        <v>15</v>
      </c>
      <c r="B2215">
        <v>77</v>
      </c>
      <c r="C2215" t="s">
        <v>2739</v>
      </c>
      <c r="D2215" s="64">
        <f>VLOOKUP(C2215,'CHAS - Cook Co'!$C$1:$J$2762,2,FALSE) - VLOOKUP(C2215,'CHAS - Chicago'!$C$1:$J$2762,2,FALSE)</f>
        <v>290</v>
      </c>
      <c r="E2215" t="s">
        <v>373</v>
      </c>
      <c r="F2215" s="71" t="s">
        <v>2510</v>
      </c>
      <c r="G2215" s="71" t="s">
        <v>2512</v>
      </c>
      <c r="H2215" s="71" t="s">
        <v>2708</v>
      </c>
      <c r="I2215" s="71" t="s">
        <v>1440</v>
      </c>
      <c r="J2215" s="71" t="s">
        <v>2460</v>
      </c>
    </row>
    <row r="2216" spans="1:10" ht="43.5" x14ac:dyDescent="0.35">
      <c r="A2216">
        <v>15</v>
      </c>
      <c r="B2216">
        <v>77</v>
      </c>
      <c r="C2216" t="s">
        <v>2738</v>
      </c>
      <c r="D2216" s="64">
        <f>VLOOKUP(C2216,'CHAS - Cook Co'!$C$1:$J$2762,2,FALSE) - VLOOKUP(C2216,'CHAS - Chicago'!$C$1:$J$2762,2,FALSE)</f>
        <v>1215</v>
      </c>
      <c r="E2216" t="s">
        <v>373</v>
      </c>
      <c r="F2216" s="71" t="s">
        <v>508</v>
      </c>
      <c r="G2216" s="71" t="s">
        <v>2512</v>
      </c>
      <c r="H2216" s="71" t="s">
        <v>2491</v>
      </c>
      <c r="I2216" s="71" t="s">
        <v>397</v>
      </c>
      <c r="J2216" s="71" t="s">
        <v>2460</v>
      </c>
    </row>
    <row r="2217" spans="1:10" ht="43.5" x14ac:dyDescent="0.35">
      <c r="A2217">
        <v>15</v>
      </c>
      <c r="B2217">
        <v>78</v>
      </c>
      <c r="C2217" t="s">
        <v>2741</v>
      </c>
      <c r="D2217" s="64">
        <f>VLOOKUP(C2217,'CHAS - Cook Co'!$C$1:$J$2762,2,FALSE) - VLOOKUP(C2217,'CHAS - Chicago'!$C$1:$J$2762,2,FALSE)</f>
        <v>1325</v>
      </c>
      <c r="E2217" t="s">
        <v>373</v>
      </c>
      <c r="F2217" s="71" t="s">
        <v>2508</v>
      </c>
      <c r="G2217" s="71" t="s">
        <v>2512</v>
      </c>
      <c r="H2217" s="71" t="s">
        <v>2708</v>
      </c>
      <c r="I2217" s="71" t="s">
        <v>1440</v>
      </c>
      <c r="J2217" s="71" t="s">
        <v>2463</v>
      </c>
    </row>
    <row r="2218" spans="1:10" ht="43.5" x14ac:dyDescent="0.35">
      <c r="A2218">
        <v>15</v>
      </c>
      <c r="B2218">
        <v>78</v>
      </c>
      <c r="C2218" t="s">
        <v>2743</v>
      </c>
      <c r="D2218" s="64">
        <f>VLOOKUP(C2218,'CHAS - Cook Co'!$C$1:$J$2762,2,FALSE) - VLOOKUP(C2218,'CHAS - Chicago'!$C$1:$J$2762,2,FALSE)</f>
        <v>1480</v>
      </c>
      <c r="E2218" t="s">
        <v>373</v>
      </c>
      <c r="F2218" s="71" t="s">
        <v>2510</v>
      </c>
      <c r="G2218" s="71" t="s">
        <v>2512</v>
      </c>
      <c r="H2218" s="71" t="s">
        <v>2708</v>
      </c>
      <c r="I2218" s="71" t="s">
        <v>1440</v>
      </c>
      <c r="J2218" s="71" t="s">
        <v>2463</v>
      </c>
    </row>
    <row r="2219" spans="1:10" ht="43.5" x14ac:dyDescent="0.35">
      <c r="A2219">
        <v>15</v>
      </c>
      <c r="B2219">
        <v>78</v>
      </c>
      <c r="C2219" t="s">
        <v>2742</v>
      </c>
      <c r="D2219" s="64">
        <f>VLOOKUP(C2219,'CHAS - Cook Co'!$C$1:$J$2762,2,FALSE) - VLOOKUP(C2219,'CHAS - Chicago'!$C$1:$J$2762,2,FALSE)</f>
        <v>1710</v>
      </c>
      <c r="E2219" t="s">
        <v>373</v>
      </c>
      <c r="F2219" s="71" t="s">
        <v>508</v>
      </c>
      <c r="G2219" s="71" t="s">
        <v>2512</v>
      </c>
      <c r="H2219" s="71" t="s">
        <v>2491</v>
      </c>
      <c r="I2219" s="71" t="s">
        <v>397</v>
      </c>
      <c r="J2219" s="71" t="s">
        <v>2463</v>
      </c>
    </row>
    <row r="2220" spans="1:10" ht="43.5" x14ac:dyDescent="0.35">
      <c r="A2220">
        <v>15</v>
      </c>
      <c r="B2220">
        <v>79</v>
      </c>
      <c r="C2220" t="s">
        <v>2744</v>
      </c>
      <c r="D2220" s="64">
        <f>VLOOKUP(C2220,'CHAS - Cook Co'!$C$1:$J$2762,2,FALSE) - VLOOKUP(C2220,'CHAS - Chicago'!$C$1:$J$2762,2,FALSE)</f>
        <v>6660</v>
      </c>
      <c r="E2220" t="s">
        <v>373</v>
      </c>
      <c r="F2220" s="71" t="s">
        <v>2508</v>
      </c>
      <c r="G2220" s="71" t="s">
        <v>2512</v>
      </c>
      <c r="H2220" s="71" t="s">
        <v>2708</v>
      </c>
      <c r="I2220" s="71" t="s">
        <v>1440</v>
      </c>
      <c r="J2220" s="71" t="s">
        <v>2466</v>
      </c>
    </row>
    <row r="2221" spans="1:10" ht="43.5" x14ac:dyDescent="0.35">
      <c r="A2221">
        <v>15</v>
      </c>
      <c r="B2221">
        <v>79</v>
      </c>
      <c r="C2221" t="s">
        <v>2745</v>
      </c>
      <c r="D2221" s="64">
        <f>VLOOKUP(C2221,'CHAS - Cook Co'!$C$1:$J$2762,2,FALSE) - VLOOKUP(C2221,'CHAS - Chicago'!$C$1:$J$2762,2,FALSE)</f>
        <v>6365</v>
      </c>
      <c r="E2221" t="s">
        <v>373</v>
      </c>
      <c r="F2221" s="71" t="s">
        <v>2510</v>
      </c>
      <c r="G2221" s="71" t="s">
        <v>2512</v>
      </c>
      <c r="H2221" s="71" t="s">
        <v>2708</v>
      </c>
      <c r="I2221" s="71" t="s">
        <v>1440</v>
      </c>
      <c r="J2221" s="71" t="s">
        <v>2466</v>
      </c>
    </row>
    <row r="2222" spans="1:10" ht="43.5" x14ac:dyDescent="0.35">
      <c r="A2222">
        <v>15</v>
      </c>
      <c r="B2222">
        <v>79</v>
      </c>
      <c r="C2222" t="s">
        <v>2746</v>
      </c>
      <c r="D2222" s="64">
        <f>VLOOKUP(C2222,'CHAS - Cook Co'!$C$1:$J$2762,2,FALSE) - VLOOKUP(C2222,'CHAS - Chicago'!$C$1:$J$2762,2,FALSE)</f>
        <v>2130</v>
      </c>
      <c r="E2222" t="s">
        <v>373</v>
      </c>
      <c r="F2222" s="71" t="s">
        <v>508</v>
      </c>
      <c r="G2222" s="71" t="s">
        <v>2512</v>
      </c>
      <c r="H2222" s="71" t="s">
        <v>2491</v>
      </c>
      <c r="I2222" s="71" t="s">
        <v>397</v>
      </c>
      <c r="J2222" s="71" t="s">
        <v>2466</v>
      </c>
    </row>
    <row r="2223" spans="1:10" ht="43.5" x14ac:dyDescent="0.35">
      <c r="A2223">
        <v>15</v>
      </c>
      <c r="B2223">
        <v>80</v>
      </c>
      <c r="C2223" t="s">
        <v>2749</v>
      </c>
      <c r="D2223" s="64">
        <f>VLOOKUP(C2223,'CHAS - Cook Co'!$C$1:$J$2762,2,FALSE) - VLOOKUP(C2223,'CHAS - Chicago'!$C$1:$J$2762,2,FALSE)</f>
        <v>6810</v>
      </c>
      <c r="E2223" t="s">
        <v>366</v>
      </c>
      <c r="F2223" s="71" t="s">
        <v>2508</v>
      </c>
      <c r="G2223" s="71" t="s">
        <v>2512</v>
      </c>
      <c r="H2223" s="71" t="s">
        <v>2708</v>
      </c>
      <c r="I2223" s="71" t="s">
        <v>1467</v>
      </c>
      <c r="J2223" s="71" t="s">
        <v>2443</v>
      </c>
    </row>
    <row r="2224" spans="1:10" ht="43.5" x14ac:dyDescent="0.35">
      <c r="A2224">
        <v>15</v>
      </c>
      <c r="B2224">
        <v>80</v>
      </c>
      <c r="C2224" t="s">
        <v>2748</v>
      </c>
      <c r="D2224" s="64">
        <f>VLOOKUP(C2224,'CHAS - Cook Co'!$C$1:$J$2762,2,FALSE) - VLOOKUP(C2224,'CHAS - Chicago'!$C$1:$J$2762,2,FALSE)</f>
        <v>5140</v>
      </c>
      <c r="E2224" t="s">
        <v>366</v>
      </c>
      <c r="F2224" s="71" t="s">
        <v>2510</v>
      </c>
      <c r="G2224" s="71" t="s">
        <v>2512</v>
      </c>
      <c r="H2224" s="71" t="s">
        <v>2708</v>
      </c>
      <c r="I2224" s="71" t="s">
        <v>1467</v>
      </c>
      <c r="J2224" s="71" t="s">
        <v>2443</v>
      </c>
    </row>
    <row r="2225" spans="1:10" ht="43.5" x14ac:dyDescent="0.35">
      <c r="A2225">
        <v>15</v>
      </c>
      <c r="B2225">
        <v>80</v>
      </c>
      <c r="C2225" t="s">
        <v>2747</v>
      </c>
      <c r="D2225" s="64">
        <f>VLOOKUP(C2225,'CHAS - Cook Co'!$C$1:$J$2762,2,FALSE) - VLOOKUP(C2225,'CHAS - Chicago'!$C$1:$J$2762,2,FALSE)</f>
        <v>3715</v>
      </c>
      <c r="E2225" t="s">
        <v>366</v>
      </c>
      <c r="F2225" s="71" t="s">
        <v>508</v>
      </c>
      <c r="G2225" s="71" t="s">
        <v>2512</v>
      </c>
      <c r="H2225" s="71" t="s">
        <v>2491</v>
      </c>
      <c r="I2225" s="71" t="s">
        <v>406</v>
      </c>
      <c r="J2225" s="71" t="s">
        <v>2443</v>
      </c>
    </row>
    <row r="2226" spans="1:10" ht="43.5" x14ac:dyDescent="0.35">
      <c r="A2226">
        <v>15</v>
      </c>
      <c r="B2226">
        <v>81</v>
      </c>
      <c r="C2226" t="s">
        <v>2752</v>
      </c>
      <c r="D2226" s="64">
        <f>VLOOKUP(C2226,'CHAS - Cook Co'!$C$1:$J$2762,2,FALSE) - VLOOKUP(C2226,'CHAS - Chicago'!$C$1:$J$2762,2,FALSE)</f>
        <v>80</v>
      </c>
      <c r="E2226" t="s">
        <v>373</v>
      </c>
      <c r="F2226" s="71" t="s">
        <v>2508</v>
      </c>
      <c r="G2226" s="71" t="s">
        <v>2512</v>
      </c>
      <c r="H2226" s="71" t="s">
        <v>2708</v>
      </c>
      <c r="I2226" s="71" t="s">
        <v>1467</v>
      </c>
      <c r="J2226" s="71" t="s">
        <v>2460</v>
      </c>
    </row>
    <row r="2227" spans="1:10" ht="43.5" x14ac:dyDescent="0.35">
      <c r="A2227">
        <v>15</v>
      </c>
      <c r="B2227">
        <v>81</v>
      </c>
      <c r="C2227" t="s">
        <v>2751</v>
      </c>
      <c r="D2227" s="64">
        <f>VLOOKUP(C2227,'CHAS - Cook Co'!$C$1:$J$2762,2,FALSE) - VLOOKUP(C2227,'CHAS - Chicago'!$C$1:$J$2762,2,FALSE)</f>
        <v>135</v>
      </c>
      <c r="E2227" t="s">
        <v>373</v>
      </c>
      <c r="F2227" s="71" t="s">
        <v>2510</v>
      </c>
      <c r="G2227" s="71" t="s">
        <v>2512</v>
      </c>
      <c r="H2227" s="71" t="s">
        <v>2708</v>
      </c>
      <c r="I2227" s="71" t="s">
        <v>1467</v>
      </c>
      <c r="J2227" s="71" t="s">
        <v>2460</v>
      </c>
    </row>
    <row r="2228" spans="1:10" ht="43.5" x14ac:dyDescent="0.35">
      <c r="A2228">
        <v>15</v>
      </c>
      <c r="B2228">
        <v>81</v>
      </c>
      <c r="C2228" t="s">
        <v>2750</v>
      </c>
      <c r="D2228" s="64">
        <f>VLOOKUP(C2228,'CHAS - Cook Co'!$C$1:$J$2762,2,FALSE) - VLOOKUP(C2228,'CHAS - Chicago'!$C$1:$J$2762,2,FALSE)</f>
        <v>1075</v>
      </c>
      <c r="E2228" t="s">
        <v>373</v>
      </c>
      <c r="F2228" s="71" t="s">
        <v>508</v>
      </c>
      <c r="G2228" s="71" t="s">
        <v>2512</v>
      </c>
      <c r="H2228" s="71" t="s">
        <v>2491</v>
      </c>
      <c r="I2228" s="71" t="s">
        <v>406</v>
      </c>
      <c r="J2228" s="71" t="s">
        <v>2460</v>
      </c>
    </row>
    <row r="2229" spans="1:10" ht="43.5" x14ac:dyDescent="0.35">
      <c r="A2229">
        <v>15</v>
      </c>
      <c r="B2229">
        <v>82</v>
      </c>
      <c r="C2229" t="s">
        <v>2754</v>
      </c>
      <c r="D2229" s="64">
        <f>VLOOKUP(C2229,'CHAS - Cook Co'!$C$1:$J$2762,2,FALSE) - VLOOKUP(C2229,'CHAS - Chicago'!$C$1:$J$2762,2,FALSE)</f>
        <v>745</v>
      </c>
      <c r="E2229" t="s">
        <v>373</v>
      </c>
      <c r="F2229" s="71" t="s">
        <v>2508</v>
      </c>
      <c r="G2229" s="71" t="s">
        <v>2512</v>
      </c>
      <c r="H2229" s="71" t="s">
        <v>2708</v>
      </c>
      <c r="I2229" s="71" t="s">
        <v>1467</v>
      </c>
      <c r="J2229" s="71" t="s">
        <v>2463</v>
      </c>
    </row>
    <row r="2230" spans="1:10" ht="43.5" x14ac:dyDescent="0.35">
      <c r="A2230">
        <v>15</v>
      </c>
      <c r="B2230">
        <v>82</v>
      </c>
      <c r="C2230" t="s">
        <v>2755</v>
      </c>
      <c r="D2230" s="64">
        <f>VLOOKUP(C2230,'CHAS - Cook Co'!$C$1:$J$2762,2,FALSE) - VLOOKUP(C2230,'CHAS - Chicago'!$C$1:$J$2762,2,FALSE)</f>
        <v>945</v>
      </c>
      <c r="E2230" t="s">
        <v>373</v>
      </c>
      <c r="F2230" s="71" t="s">
        <v>2510</v>
      </c>
      <c r="G2230" s="71" t="s">
        <v>2512</v>
      </c>
      <c r="H2230" s="71" t="s">
        <v>2708</v>
      </c>
      <c r="I2230" s="71" t="s">
        <v>1467</v>
      </c>
      <c r="J2230" s="71" t="s">
        <v>2463</v>
      </c>
    </row>
    <row r="2231" spans="1:10" ht="43.5" x14ac:dyDescent="0.35">
      <c r="A2231">
        <v>15</v>
      </c>
      <c r="B2231">
        <v>82</v>
      </c>
      <c r="C2231" t="s">
        <v>2753</v>
      </c>
      <c r="D2231" s="64">
        <f>VLOOKUP(C2231,'CHAS - Cook Co'!$C$1:$J$2762,2,FALSE) - VLOOKUP(C2231,'CHAS - Chicago'!$C$1:$J$2762,2,FALSE)</f>
        <v>1020</v>
      </c>
      <c r="E2231" t="s">
        <v>373</v>
      </c>
      <c r="F2231" s="71" t="s">
        <v>508</v>
      </c>
      <c r="G2231" s="71" t="s">
        <v>2512</v>
      </c>
      <c r="H2231" s="71" t="s">
        <v>2491</v>
      </c>
      <c r="I2231" s="71" t="s">
        <v>406</v>
      </c>
      <c r="J2231" s="71" t="s">
        <v>2463</v>
      </c>
    </row>
    <row r="2232" spans="1:10" ht="43.5" x14ac:dyDescent="0.35">
      <c r="A2232">
        <v>15</v>
      </c>
      <c r="B2232">
        <v>83</v>
      </c>
      <c r="C2232" t="s">
        <v>2758</v>
      </c>
      <c r="D2232" s="64">
        <f>VLOOKUP(C2232,'CHAS - Cook Co'!$C$1:$J$2762,2,FALSE) - VLOOKUP(C2232,'CHAS - Chicago'!$C$1:$J$2762,2,FALSE)</f>
        <v>5990</v>
      </c>
      <c r="E2232" t="s">
        <v>373</v>
      </c>
      <c r="F2232" s="71" t="s">
        <v>2508</v>
      </c>
      <c r="G2232" s="71" t="s">
        <v>2512</v>
      </c>
      <c r="H2232" s="71" t="s">
        <v>2708</v>
      </c>
      <c r="I2232" s="71" t="s">
        <v>1467</v>
      </c>
      <c r="J2232" s="71" t="s">
        <v>2466</v>
      </c>
    </row>
    <row r="2233" spans="1:10" ht="43.5" x14ac:dyDescent="0.35">
      <c r="A2233">
        <v>15</v>
      </c>
      <c r="B2233">
        <v>83</v>
      </c>
      <c r="C2233" t="s">
        <v>2756</v>
      </c>
      <c r="D2233" s="64">
        <f>VLOOKUP(C2233,'CHAS - Cook Co'!$C$1:$J$2762,2,FALSE) - VLOOKUP(C2233,'CHAS - Chicago'!$C$1:$J$2762,2,FALSE)</f>
        <v>4060</v>
      </c>
      <c r="E2233" t="s">
        <v>373</v>
      </c>
      <c r="F2233" s="71" t="s">
        <v>2510</v>
      </c>
      <c r="G2233" s="71" t="s">
        <v>2512</v>
      </c>
      <c r="H2233" s="71" t="s">
        <v>2708</v>
      </c>
      <c r="I2233" s="71" t="s">
        <v>1467</v>
      </c>
      <c r="J2233" s="71" t="s">
        <v>2466</v>
      </c>
    </row>
    <row r="2234" spans="1:10" ht="43.5" x14ac:dyDescent="0.35">
      <c r="A2234">
        <v>15</v>
      </c>
      <c r="B2234">
        <v>83</v>
      </c>
      <c r="C2234" t="s">
        <v>2757</v>
      </c>
      <c r="D2234" s="64">
        <f>VLOOKUP(C2234,'CHAS - Cook Co'!$C$1:$J$2762,2,FALSE) - VLOOKUP(C2234,'CHAS - Chicago'!$C$1:$J$2762,2,FALSE)</f>
        <v>1625</v>
      </c>
      <c r="E2234" t="s">
        <v>373</v>
      </c>
      <c r="F2234" s="71" t="s">
        <v>508</v>
      </c>
      <c r="G2234" s="71" t="s">
        <v>2512</v>
      </c>
      <c r="H2234" s="71" t="s">
        <v>2491</v>
      </c>
      <c r="I2234" s="71" t="s">
        <v>406</v>
      </c>
      <c r="J2234" s="71" t="s">
        <v>2466</v>
      </c>
    </row>
    <row r="2235" spans="1:10" ht="43.5" x14ac:dyDescent="0.35">
      <c r="A2235">
        <v>15</v>
      </c>
      <c r="B2235">
        <v>84</v>
      </c>
      <c r="C2235" t="s">
        <v>2760</v>
      </c>
      <c r="D2235" s="64">
        <f>VLOOKUP(C2235,'CHAS - Cook Co'!$C$1:$J$2762,2,FALSE) - VLOOKUP(C2235,'CHAS - Chicago'!$C$1:$J$2762,2,FALSE)</f>
        <v>103890</v>
      </c>
      <c r="E2235" t="s">
        <v>366</v>
      </c>
      <c r="F2235" s="71" t="s">
        <v>2508</v>
      </c>
      <c r="G2235" s="71" t="s">
        <v>2512</v>
      </c>
      <c r="H2235" s="71" t="s">
        <v>2708</v>
      </c>
      <c r="I2235" s="71" t="s">
        <v>1494</v>
      </c>
      <c r="J2235" s="71" t="s">
        <v>2443</v>
      </c>
    </row>
    <row r="2236" spans="1:10" ht="43.5" x14ac:dyDescent="0.35">
      <c r="A2236">
        <v>15</v>
      </c>
      <c r="B2236">
        <v>84</v>
      </c>
      <c r="C2236" t="s">
        <v>2761</v>
      </c>
      <c r="D2236" s="64">
        <f>VLOOKUP(C2236,'CHAS - Cook Co'!$C$1:$J$2762,2,FALSE) - VLOOKUP(C2236,'CHAS - Chicago'!$C$1:$J$2762,2,FALSE)</f>
        <v>38630</v>
      </c>
      <c r="E2236" t="s">
        <v>366</v>
      </c>
      <c r="F2236" s="71" t="s">
        <v>2510</v>
      </c>
      <c r="G2236" s="71" t="s">
        <v>2512</v>
      </c>
      <c r="H2236" s="71" t="s">
        <v>2708</v>
      </c>
      <c r="I2236" s="71" t="s">
        <v>1494</v>
      </c>
      <c r="J2236" s="71" t="s">
        <v>2443</v>
      </c>
    </row>
    <row r="2237" spans="1:10" ht="29" x14ac:dyDescent="0.35">
      <c r="A2237">
        <v>15</v>
      </c>
      <c r="B2237">
        <v>84</v>
      </c>
      <c r="C2237" t="s">
        <v>2759</v>
      </c>
      <c r="D2237" s="64">
        <f>VLOOKUP(C2237,'CHAS - Cook Co'!$C$1:$J$2762,2,FALSE) - VLOOKUP(C2237,'CHAS - Chicago'!$C$1:$J$2762,2,FALSE)</f>
        <v>18215</v>
      </c>
      <c r="E2237" t="s">
        <v>366</v>
      </c>
      <c r="F2237" s="71" t="s">
        <v>508</v>
      </c>
      <c r="G2237" s="71" t="s">
        <v>2512</v>
      </c>
      <c r="H2237" s="71" t="s">
        <v>2491</v>
      </c>
      <c r="I2237" s="71" t="s">
        <v>415</v>
      </c>
      <c r="J2237" s="71" t="s">
        <v>2443</v>
      </c>
    </row>
    <row r="2238" spans="1:10" ht="43.5" x14ac:dyDescent="0.35">
      <c r="A2238">
        <v>15</v>
      </c>
      <c r="B2238">
        <v>85</v>
      </c>
      <c r="C2238" t="s">
        <v>2764</v>
      </c>
      <c r="D2238" s="64">
        <f>VLOOKUP(C2238,'CHAS - Cook Co'!$C$1:$J$2762,2,FALSE) - VLOOKUP(C2238,'CHAS - Chicago'!$C$1:$J$2762,2,FALSE)</f>
        <v>675</v>
      </c>
      <c r="E2238" t="s">
        <v>373</v>
      </c>
      <c r="F2238" s="71" t="s">
        <v>2508</v>
      </c>
      <c r="G2238" s="71" t="s">
        <v>2512</v>
      </c>
      <c r="H2238" s="71" t="s">
        <v>2708</v>
      </c>
      <c r="I2238" s="71" t="s">
        <v>1494</v>
      </c>
      <c r="J2238" s="71" t="s">
        <v>2460</v>
      </c>
    </row>
    <row r="2239" spans="1:10" ht="43.5" x14ac:dyDescent="0.35">
      <c r="A2239">
        <v>15</v>
      </c>
      <c r="B2239">
        <v>85</v>
      </c>
      <c r="C2239" t="s">
        <v>2762</v>
      </c>
      <c r="D2239" s="64">
        <f>VLOOKUP(C2239,'CHAS - Cook Co'!$C$1:$J$2762,2,FALSE) - VLOOKUP(C2239,'CHAS - Chicago'!$C$1:$J$2762,2,FALSE)</f>
        <v>460</v>
      </c>
      <c r="E2239" t="s">
        <v>373</v>
      </c>
      <c r="F2239" s="71" t="s">
        <v>2510</v>
      </c>
      <c r="G2239" s="71" t="s">
        <v>2512</v>
      </c>
      <c r="H2239" s="71" t="s">
        <v>2708</v>
      </c>
      <c r="I2239" s="71" t="s">
        <v>1494</v>
      </c>
      <c r="J2239" s="71" t="s">
        <v>2460</v>
      </c>
    </row>
    <row r="2240" spans="1:10" ht="29" x14ac:dyDescent="0.35">
      <c r="A2240">
        <v>15</v>
      </c>
      <c r="B2240">
        <v>85</v>
      </c>
      <c r="C2240" t="s">
        <v>2763</v>
      </c>
      <c r="D2240" s="64">
        <f>VLOOKUP(C2240,'CHAS - Cook Co'!$C$1:$J$2762,2,FALSE) - VLOOKUP(C2240,'CHAS - Chicago'!$C$1:$J$2762,2,FALSE)</f>
        <v>3390</v>
      </c>
      <c r="E2240" t="s">
        <v>373</v>
      </c>
      <c r="F2240" s="71" t="s">
        <v>508</v>
      </c>
      <c r="G2240" s="71" t="s">
        <v>2512</v>
      </c>
      <c r="H2240" s="71" t="s">
        <v>2491</v>
      </c>
      <c r="I2240" s="71" t="s">
        <v>415</v>
      </c>
      <c r="J2240" s="71" t="s">
        <v>2460</v>
      </c>
    </row>
    <row r="2241" spans="1:10" ht="43.5" x14ac:dyDescent="0.35">
      <c r="A2241">
        <v>15</v>
      </c>
      <c r="B2241">
        <v>86</v>
      </c>
      <c r="C2241" t="s">
        <v>2767</v>
      </c>
      <c r="D2241" s="64">
        <f>VLOOKUP(C2241,'CHAS - Cook Co'!$C$1:$J$2762,2,FALSE) - VLOOKUP(C2241,'CHAS - Chicago'!$C$1:$J$2762,2,FALSE)</f>
        <v>6975</v>
      </c>
      <c r="E2241" t="s">
        <v>373</v>
      </c>
      <c r="F2241" s="71" t="s">
        <v>2508</v>
      </c>
      <c r="G2241" s="71" t="s">
        <v>2512</v>
      </c>
      <c r="H2241" s="71" t="s">
        <v>2708</v>
      </c>
      <c r="I2241" s="71" t="s">
        <v>1494</v>
      </c>
      <c r="J2241" s="71" t="s">
        <v>2463</v>
      </c>
    </row>
    <row r="2242" spans="1:10" ht="43.5" x14ac:dyDescent="0.35">
      <c r="A2242">
        <v>15</v>
      </c>
      <c r="B2242">
        <v>86</v>
      </c>
      <c r="C2242" t="s">
        <v>2766</v>
      </c>
      <c r="D2242" s="64">
        <f>VLOOKUP(C2242,'CHAS - Cook Co'!$C$1:$J$2762,2,FALSE) - VLOOKUP(C2242,'CHAS - Chicago'!$C$1:$J$2762,2,FALSE)</f>
        <v>3795</v>
      </c>
      <c r="E2242" t="s">
        <v>373</v>
      </c>
      <c r="F2242" s="71" t="s">
        <v>2510</v>
      </c>
      <c r="G2242" s="71" t="s">
        <v>2512</v>
      </c>
      <c r="H2242" s="71" t="s">
        <v>2708</v>
      </c>
      <c r="I2242" s="71" t="s">
        <v>1494</v>
      </c>
      <c r="J2242" s="71" t="s">
        <v>2463</v>
      </c>
    </row>
    <row r="2243" spans="1:10" ht="29" x14ac:dyDescent="0.35">
      <c r="A2243">
        <v>15</v>
      </c>
      <c r="B2243">
        <v>86</v>
      </c>
      <c r="C2243" t="s">
        <v>2765</v>
      </c>
      <c r="D2243" s="64">
        <f>VLOOKUP(C2243,'CHAS - Cook Co'!$C$1:$J$2762,2,FALSE) - VLOOKUP(C2243,'CHAS - Chicago'!$C$1:$J$2762,2,FALSE)</f>
        <v>7170</v>
      </c>
      <c r="E2243" t="s">
        <v>373</v>
      </c>
      <c r="F2243" s="71" t="s">
        <v>508</v>
      </c>
      <c r="G2243" s="71" t="s">
        <v>2512</v>
      </c>
      <c r="H2243" s="71" t="s">
        <v>2491</v>
      </c>
      <c r="I2243" s="71" t="s">
        <v>415</v>
      </c>
      <c r="J2243" s="71" t="s">
        <v>2463</v>
      </c>
    </row>
    <row r="2244" spans="1:10" ht="43.5" x14ac:dyDescent="0.35">
      <c r="A2244">
        <v>15</v>
      </c>
      <c r="B2244">
        <v>87</v>
      </c>
      <c r="C2244" t="s">
        <v>2768</v>
      </c>
      <c r="D2244" s="64">
        <f>VLOOKUP(C2244,'CHAS - Cook Co'!$C$1:$J$2762,2,FALSE) - VLOOKUP(C2244,'CHAS - Chicago'!$C$1:$J$2762,2,FALSE)</f>
        <v>96240</v>
      </c>
      <c r="E2244" t="s">
        <v>373</v>
      </c>
      <c r="F2244" s="71" t="s">
        <v>2508</v>
      </c>
      <c r="G2244" s="71" t="s">
        <v>2512</v>
      </c>
      <c r="H2244" s="71" t="s">
        <v>2708</v>
      </c>
      <c r="I2244" s="71" t="s">
        <v>1494</v>
      </c>
      <c r="J2244" s="71" t="s">
        <v>2466</v>
      </c>
    </row>
    <row r="2245" spans="1:10" ht="43.5" x14ac:dyDescent="0.35">
      <c r="A2245">
        <v>15</v>
      </c>
      <c r="B2245">
        <v>87</v>
      </c>
      <c r="C2245" t="s">
        <v>2769</v>
      </c>
      <c r="D2245" s="64">
        <f>VLOOKUP(C2245,'CHAS - Cook Co'!$C$1:$J$2762,2,FALSE) - VLOOKUP(C2245,'CHAS - Chicago'!$C$1:$J$2762,2,FALSE)</f>
        <v>34375</v>
      </c>
      <c r="E2245" t="s">
        <v>373</v>
      </c>
      <c r="F2245" s="71" t="s">
        <v>2510</v>
      </c>
      <c r="G2245" s="71" t="s">
        <v>2512</v>
      </c>
      <c r="H2245" s="71" t="s">
        <v>2708</v>
      </c>
      <c r="I2245" s="71" t="s">
        <v>1494</v>
      </c>
      <c r="J2245" s="71" t="s">
        <v>2466</v>
      </c>
    </row>
    <row r="2246" spans="1:10" ht="29" x14ac:dyDescent="0.35">
      <c r="A2246">
        <v>15</v>
      </c>
      <c r="B2246">
        <v>87</v>
      </c>
      <c r="C2246" t="s">
        <v>2770</v>
      </c>
      <c r="D2246" s="64">
        <f>VLOOKUP(C2246,'CHAS - Cook Co'!$C$1:$J$2762,2,FALSE) - VLOOKUP(C2246,'CHAS - Chicago'!$C$1:$J$2762,2,FALSE)</f>
        <v>7660</v>
      </c>
      <c r="E2246" t="s">
        <v>373</v>
      </c>
      <c r="F2246" s="71" t="s">
        <v>508</v>
      </c>
      <c r="G2246" s="71" t="s">
        <v>2512</v>
      </c>
      <c r="H2246" s="71" t="s">
        <v>2491</v>
      </c>
      <c r="I2246" s="71" t="s">
        <v>415</v>
      </c>
      <c r="J2246" s="71" t="s">
        <v>2466</v>
      </c>
    </row>
    <row r="2247" spans="1:10" ht="29" x14ac:dyDescent="0.35">
      <c r="A2247">
        <v>16</v>
      </c>
      <c r="B2247">
        <v>1</v>
      </c>
      <c r="C2247" t="s">
        <v>2771</v>
      </c>
      <c r="D2247" s="64">
        <f>VLOOKUP(C2247,'CHAS - Cook Co'!$C$1:$J$2762,2,FALSE) - VLOOKUP(C2247,'CHAS - Chicago'!$C$1:$J$2762,2,FALSE)</f>
        <v>909025</v>
      </c>
      <c r="E2247" t="s">
        <v>26</v>
      </c>
      <c r="F2247" s="71" t="s">
        <v>361</v>
      </c>
      <c r="G2247" s="71" t="s">
        <v>363</v>
      </c>
      <c r="H2247" s="71" t="s">
        <v>982</v>
      </c>
      <c r="I2247" s="71" t="s">
        <v>2772</v>
      </c>
    </row>
    <row r="2248" spans="1:10" x14ac:dyDescent="0.35">
      <c r="A2248">
        <v>16</v>
      </c>
      <c r="B2248">
        <v>2</v>
      </c>
      <c r="C2248" t="s">
        <v>2773</v>
      </c>
      <c r="D2248" s="64">
        <f>VLOOKUP(C2248,'CHAS - Cook Co'!$C$1:$J$2762,2,FALSE) - VLOOKUP(C2248,'CHAS - Chicago'!$C$1:$J$2762,2,FALSE)</f>
        <v>645280</v>
      </c>
      <c r="E2248" t="s">
        <v>366</v>
      </c>
      <c r="F2248" s="71" t="s">
        <v>367</v>
      </c>
      <c r="G2248" s="71" t="s">
        <v>363</v>
      </c>
      <c r="H2248" s="71" t="s">
        <v>982</v>
      </c>
      <c r="I2248" s="71" t="s">
        <v>2772</v>
      </c>
    </row>
    <row r="2249" spans="1:10" ht="29" x14ac:dyDescent="0.35">
      <c r="A2249">
        <v>16</v>
      </c>
      <c r="B2249">
        <v>3</v>
      </c>
      <c r="C2249" t="s">
        <v>2774</v>
      </c>
      <c r="D2249" s="64">
        <f>VLOOKUP(C2249,'CHAS - Cook Co'!$C$1:$J$2762,2,FALSE) - VLOOKUP(C2249,'CHAS - Chicago'!$C$1:$J$2762,2,FALSE)</f>
        <v>55240</v>
      </c>
      <c r="E2249" t="s">
        <v>366</v>
      </c>
      <c r="F2249" s="71" t="s">
        <v>367</v>
      </c>
      <c r="G2249" s="71" t="s">
        <v>371</v>
      </c>
      <c r="H2249" s="71" t="s">
        <v>982</v>
      </c>
      <c r="I2249" s="71" t="s">
        <v>2772</v>
      </c>
    </row>
    <row r="2250" spans="1:10" ht="43.5" x14ac:dyDescent="0.35">
      <c r="A2250">
        <v>16</v>
      </c>
      <c r="B2250">
        <v>4</v>
      </c>
      <c r="C2250" t="s">
        <v>2775</v>
      </c>
      <c r="D2250" s="64">
        <f>VLOOKUP(C2250,'CHAS - Cook Co'!$C$1:$J$2762,2,FALSE) - VLOOKUP(C2250,'CHAS - Chicago'!$C$1:$J$2762,2,FALSE)</f>
        <v>7095</v>
      </c>
      <c r="E2250" t="s">
        <v>366</v>
      </c>
      <c r="F2250" s="71" t="s">
        <v>367</v>
      </c>
      <c r="G2250" s="71" t="s">
        <v>371</v>
      </c>
      <c r="H2250" s="71" t="s">
        <v>2776</v>
      </c>
      <c r="I2250" s="71" t="s">
        <v>2772</v>
      </c>
    </row>
    <row r="2251" spans="1:10" ht="43.5" x14ac:dyDescent="0.35">
      <c r="A2251">
        <v>16</v>
      </c>
      <c r="B2251">
        <v>5</v>
      </c>
      <c r="C2251" t="s">
        <v>2777</v>
      </c>
      <c r="D2251" s="64">
        <f>VLOOKUP(C2251,'CHAS - Cook Co'!$C$1:$J$2762,2,FALSE) - VLOOKUP(C2251,'CHAS - Chicago'!$C$1:$J$2762,2,FALSE)</f>
        <v>6100</v>
      </c>
      <c r="E2251" t="s">
        <v>373</v>
      </c>
      <c r="F2251" s="71" t="s">
        <v>367</v>
      </c>
      <c r="G2251" s="71" t="s">
        <v>371</v>
      </c>
      <c r="H2251" s="71" t="s">
        <v>2776</v>
      </c>
      <c r="I2251" s="71" t="s">
        <v>2778</v>
      </c>
    </row>
    <row r="2252" spans="1:10" ht="43.5" x14ac:dyDescent="0.35">
      <c r="A2252">
        <v>16</v>
      </c>
      <c r="B2252">
        <v>6</v>
      </c>
      <c r="C2252" t="s">
        <v>2779</v>
      </c>
      <c r="D2252" s="64">
        <f>VLOOKUP(C2252,'CHAS - Cook Co'!$C$1:$J$2762,2,FALSE) - VLOOKUP(C2252,'CHAS - Chicago'!$C$1:$J$2762,2,FALSE)</f>
        <v>595</v>
      </c>
      <c r="E2252" t="s">
        <v>373</v>
      </c>
      <c r="F2252" s="71" t="s">
        <v>367</v>
      </c>
      <c r="G2252" s="71" t="s">
        <v>371</v>
      </c>
      <c r="H2252" s="71" t="s">
        <v>2776</v>
      </c>
      <c r="I2252" s="71" t="s">
        <v>2780</v>
      </c>
    </row>
    <row r="2253" spans="1:10" ht="43.5" x14ac:dyDescent="0.35">
      <c r="A2253">
        <v>16</v>
      </c>
      <c r="B2253">
        <v>7</v>
      </c>
      <c r="C2253" t="s">
        <v>2781</v>
      </c>
      <c r="D2253" s="64">
        <f>VLOOKUP(C2253,'CHAS - Cook Co'!$C$1:$J$2762,2,FALSE) - VLOOKUP(C2253,'CHAS - Chicago'!$C$1:$J$2762,2,FALSE)</f>
        <v>400</v>
      </c>
      <c r="E2253" t="s">
        <v>373</v>
      </c>
      <c r="F2253" s="71" t="s">
        <v>367</v>
      </c>
      <c r="G2253" s="71" t="s">
        <v>371</v>
      </c>
      <c r="H2253" s="71" t="s">
        <v>2776</v>
      </c>
      <c r="I2253" s="71" t="s">
        <v>2782</v>
      </c>
    </row>
    <row r="2254" spans="1:10" ht="43.5" x14ac:dyDescent="0.35">
      <c r="A2254">
        <v>16</v>
      </c>
      <c r="B2254">
        <v>8</v>
      </c>
      <c r="C2254" t="s">
        <v>2783</v>
      </c>
      <c r="D2254" s="64">
        <f>VLOOKUP(C2254,'CHAS - Cook Co'!$C$1:$J$2762,2,FALSE) - VLOOKUP(C2254,'CHAS - Chicago'!$C$1:$J$2762,2,FALSE)</f>
        <v>12290</v>
      </c>
      <c r="E2254" t="s">
        <v>366</v>
      </c>
      <c r="F2254" s="71" t="s">
        <v>367</v>
      </c>
      <c r="G2254" s="71" t="s">
        <v>371</v>
      </c>
      <c r="H2254" s="71" t="s">
        <v>2784</v>
      </c>
      <c r="I2254" s="71" t="s">
        <v>2772</v>
      </c>
    </row>
    <row r="2255" spans="1:10" ht="43.5" x14ac:dyDescent="0.35">
      <c r="A2255">
        <v>16</v>
      </c>
      <c r="B2255">
        <v>9</v>
      </c>
      <c r="C2255" t="s">
        <v>2785</v>
      </c>
      <c r="D2255" s="64">
        <f>VLOOKUP(C2255,'CHAS - Cook Co'!$C$1:$J$2762,2,FALSE) - VLOOKUP(C2255,'CHAS - Chicago'!$C$1:$J$2762,2,FALSE)</f>
        <v>10785</v>
      </c>
      <c r="E2255" t="s">
        <v>373</v>
      </c>
      <c r="F2255" s="71" t="s">
        <v>367</v>
      </c>
      <c r="G2255" s="71" t="s">
        <v>371</v>
      </c>
      <c r="H2255" s="71" t="s">
        <v>2784</v>
      </c>
      <c r="I2255" s="71" t="s">
        <v>2778</v>
      </c>
    </row>
    <row r="2256" spans="1:10" ht="43.5" x14ac:dyDescent="0.35">
      <c r="A2256">
        <v>16</v>
      </c>
      <c r="B2256">
        <v>10</v>
      </c>
      <c r="C2256" t="s">
        <v>2786</v>
      </c>
      <c r="D2256" s="64">
        <f>VLOOKUP(C2256,'CHAS - Cook Co'!$C$1:$J$2762,2,FALSE) - VLOOKUP(C2256,'CHAS - Chicago'!$C$1:$J$2762,2,FALSE)</f>
        <v>560</v>
      </c>
      <c r="E2256" t="s">
        <v>373</v>
      </c>
      <c r="F2256" s="71" t="s">
        <v>367</v>
      </c>
      <c r="G2256" s="71" t="s">
        <v>371</v>
      </c>
      <c r="H2256" s="71" t="s">
        <v>2784</v>
      </c>
      <c r="I2256" s="71" t="s">
        <v>2780</v>
      </c>
    </row>
    <row r="2257" spans="1:9" ht="43.5" x14ac:dyDescent="0.35">
      <c r="A2257">
        <v>16</v>
      </c>
      <c r="B2257">
        <v>11</v>
      </c>
      <c r="C2257" t="s">
        <v>2787</v>
      </c>
      <c r="D2257" s="64">
        <f>VLOOKUP(C2257,'CHAS - Cook Co'!$C$1:$J$2762,2,FALSE) - VLOOKUP(C2257,'CHAS - Chicago'!$C$1:$J$2762,2,FALSE)</f>
        <v>950</v>
      </c>
      <c r="E2257" t="s">
        <v>373</v>
      </c>
      <c r="F2257" s="71" t="s">
        <v>367</v>
      </c>
      <c r="G2257" s="71" t="s">
        <v>371</v>
      </c>
      <c r="H2257" s="71" t="s">
        <v>2784</v>
      </c>
      <c r="I2257" s="71" t="s">
        <v>2782</v>
      </c>
    </row>
    <row r="2258" spans="1:9" ht="29" x14ac:dyDescent="0.35">
      <c r="A2258">
        <v>16</v>
      </c>
      <c r="B2258">
        <v>12</v>
      </c>
      <c r="C2258" t="s">
        <v>2788</v>
      </c>
      <c r="D2258" s="64">
        <f>VLOOKUP(C2258,'CHAS - Cook Co'!$C$1:$J$2762,2,FALSE) - VLOOKUP(C2258,'CHAS - Chicago'!$C$1:$J$2762,2,FALSE)</f>
        <v>3540</v>
      </c>
      <c r="E2258" t="s">
        <v>366</v>
      </c>
      <c r="F2258" s="71" t="s">
        <v>367</v>
      </c>
      <c r="G2258" s="71" t="s">
        <v>371</v>
      </c>
      <c r="H2258" s="71" t="s">
        <v>2789</v>
      </c>
      <c r="I2258" s="71" t="s">
        <v>2772</v>
      </c>
    </row>
    <row r="2259" spans="1:9" ht="29" x14ac:dyDescent="0.35">
      <c r="A2259">
        <v>16</v>
      </c>
      <c r="B2259">
        <v>13</v>
      </c>
      <c r="C2259" t="s">
        <v>2790</v>
      </c>
      <c r="D2259" s="64">
        <f>VLOOKUP(C2259,'CHAS - Cook Co'!$C$1:$J$2762,2,FALSE) - VLOOKUP(C2259,'CHAS - Chicago'!$C$1:$J$2762,2,FALSE)</f>
        <v>3340</v>
      </c>
      <c r="E2259" t="s">
        <v>373</v>
      </c>
      <c r="F2259" s="71" t="s">
        <v>367</v>
      </c>
      <c r="G2259" s="71" t="s">
        <v>371</v>
      </c>
      <c r="H2259" s="71" t="s">
        <v>2789</v>
      </c>
      <c r="I2259" s="71" t="s">
        <v>2778</v>
      </c>
    </row>
    <row r="2260" spans="1:9" ht="29" x14ac:dyDescent="0.35">
      <c r="A2260">
        <v>16</v>
      </c>
      <c r="B2260">
        <v>14</v>
      </c>
      <c r="C2260" t="s">
        <v>2791</v>
      </c>
      <c r="D2260" s="64">
        <f>VLOOKUP(C2260,'CHAS - Cook Co'!$C$1:$J$2762,2,FALSE) - VLOOKUP(C2260,'CHAS - Chicago'!$C$1:$J$2762,2,FALSE)</f>
        <v>135</v>
      </c>
      <c r="E2260" t="s">
        <v>373</v>
      </c>
      <c r="F2260" s="71" t="s">
        <v>367</v>
      </c>
      <c r="G2260" s="71" t="s">
        <v>371</v>
      </c>
      <c r="H2260" s="71" t="s">
        <v>2789</v>
      </c>
      <c r="I2260" s="71" t="s">
        <v>2780</v>
      </c>
    </row>
    <row r="2261" spans="1:9" ht="43.5" x14ac:dyDescent="0.35">
      <c r="A2261">
        <v>16</v>
      </c>
      <c r="B2261">
        <v>15</v>
      </c>
      <c r="C2261" t="s">
        <v>2792</v>
      </c>
      <c r="D2261" s="64">
        <f>VLOOKUP(C2261,'CHAS - Cook Co'!$C$1:$J$2762,2,FALSE) - VLOOKUP(C2261,'CHAS - Chicago'!$C$1:$J$2762,2,FALSE)</f>
        <v>70</v>
      </c>
      <c r="E2261" t="s">
        <v>373</v>
      </c>
      <c r="F2261" s="71" t="s">
        <v>367</v>
      </c>
      <c r="G2261" s="71" t="s">
        <v>371</v>
      </c>
      <c r="H2261" s="71" t="s">
        <v>2789</v>
      </c>
      <c r="I2261" s="71" t="s">
        <v>2782</v>
      </c>
    </row>
    <row r="2262" spans="1:9" ht="58" x14ac:dyDescent="0.35">
      <c r="A2262">
        <v>16</v>
      </c>
      <c r="B2262">
        <v>16</v>
      </c>
      <c r="C2262" t="s">
        <v>2793</v>
      </c>
      <c r="D2262" s="64">
        <f>VLOOKUP(C2262,'CHAS - Cook Co'!$C$1:$J$2762,2,FALSE) - VLOOKUP(C2262,'CHAS - Chicago'!$C$1:$J$2762,2,FALSE)</f>
        <v>21630</v>
      </c>
      <c r="E2262" t="s">
        <v>366</v>
      </c>
      <c r="F2262" s="71" t="s">
        <v>367</v>
      </c>
      <c r="G2262" s="71" t="s">
        <v>371</v>
      </c>
      <c r="H2262" s="71" t="s">
        <v>2794</v>
      </c>
      <c r="I2262" s="71" t="s">
        <v>2772</v>
      </c>
    </row>
    <row r="2263" spans="1:9" ht="58" x14ac:dyDescent="0.35">
      <c r="A2263">
        <v>16</v>
      </c>
      <c r="B2263">
        <v>17</v>
      </c>
      <c r="C2263" t="s">
        <v>2795</v>
      </c>
      <c r="D2263" s="64">
        <f>VLOOKUP(C2263,'CHAS - Cook Co'!$C$1:$J$2762,2,FALSE) - VLOOKUP(C2263,'CHAS - Chicago'!$C$1:$J$2762,2,FALSE)</f>
        <v>17415</v>
      </c>
      <c r="E2263" t="s">
        <v>373</v>
      </c>
      <c r="F2263" s="71" t="s">
        <v>367</v>
      </c>
      <c r="G2263" s="71" t="s">
        <v>371</v>
      </c>
      <c r="H2263" s="71" t="s">
        <v>2794</v>
      </c>
      <c r="I2263" s="71" t="s">
        <v>2778</v>
      </c>
    </row>
    <row r="2264" spans="1:9" ht="58" x14ac:dyDescent="0.35">
      <c r="A2264">
        <v>16</v>
      </c>
      <c r="B2264">
        <v>18</v>
      </c>
      <c r="C2264" t="s">
        <v>2796</v>
      </c>
      <c r="D2264" s="64">
        <f>VLOOKUP(C2264,'CHAS - Cook Co'!$C$1:$J$2762,2,FALSE) - VLOOKUP(C2264,'CHAS - Chicago'!$C$1:$J$2762,2,FALSE)</f>
        <v>2570</v>
      </c>
      <c r="E2264" t="s">
        <v>373</v>
      </c>
      <c r="F2264" s="71" t="s">
        <v>367</v>
      </c>
      <c r="G2264" s="71" t="s">
        <v>371</v>
      </c>
      <c r="H2264" s="71" t="s">
        <v>2794</v>
      </c>
      <c r="I2264" s="71" t="s">
        <v>2780</v>
      </c>
    </row>
    <row r="2265" spans="1:9" ht="58" x14ac:dyDescent="0.35">
      <c r="A2265">
        <v>16</v>
      </c>
      <c r="B2265">
        <v>19</v>
      </c>
      <c r="C2265" t="s">
        <v>2797</v>
      </c>
      <c r="D2265" s="64">
        <f>VLOOKUP(C2265,'CHAS - Cook Co'!$C$1:$J$2762,2,FALSE) - VLOOKUP(C2265,'CHAS - Chicago'!$C$1:$J$2762,2,FALSE)</f>
        <v>1645</v>
      </c>
      <c r="E2265" t="s">
        <v>373</v>
      </c>
      <c r="F2265" s="71" t="s">
        <v>367</v>
      </c>
      <c r="G2265" s="71" t="s">
        <v>371</v>
      </c>
      <c r="H2265" s="71" t="s">
        <v>2794</v>
      </c>
      <c r="I2265" s="71" t="s">
        <v>2782</v>
      </c>
    </row>
    <row r="2266" spans="1:9" ht="29" x14ac:dyDescent="0.35">
      <c r="A2266">
        <v>16</v>
      </c>
      <c r="B2266">
        <v>20</v>
      </c>
      <c r="C2266" t="s">
        <v>2798</v>
      </c>
      <c r="D2266" s="64">
        <f>VLOOKUP(C2266,'CHAS - Cook Co'!$C$1:$J$2762,2,FALSE) - VLOOKUP(C2266,'CHAS - Chicago'!$C$1:$J$2762,2,FALSE)</f>
        <v>10685</v>
      </c>
      <c r="E2266" t="s">
        <v>366</v>
      </c>
      <c r="F2266" s="71" t="s">
        <v>367</v>
      </c>
      <c r="G2266" s="71" t="s">
        <v>371</v>
      </c>
      <c r="H2266" s="71" t="s">
        <v>2799</v>
      </c>
      <c r="I2266" s="71" t="s">
        <v>2772</v>
      </c>
    </row>
    <row r="2267" spans="1:9" ht="29" x14ac:dyDescent="0.35">
      <c r="A2267">
        <v>16</v>
      </c>
      <c r="B2267">
        <v>21</v>
      </c>
      <c r="C2267" t="s">
        <v>2800</v>
      </c>
      <c r="D2267" s="64">
        <f>VLOOKUP(C2267,'CHAS - Cook Co'!$C$1:$J$2762,2,FALSE) - VLOOKUP(C2267,'CHAS - Chicago'!$C$1:$J$2762,2,FALSE)</f>
        <v>8000</v>
      </c>
      <c r="E2267" t="s">
        <v>373</v>
      </c>
      <c r="F2267" s="71" t="s">
        <v>367</v>
      </c>
      <c r="G2267" s="71" t="s">
        <v>371</v>
      </c>
      <c r="H2267" s="71" t="s">
        <v>2799</v>
      </c>
      <c r="I2267" s="71" t="s">
        <v>2778</v>
      </c>
    </row>
    <row r="2268" spans="1:9" ht="29" x14ac:dyDescent="0.35">
      <c r="A2268">
        <v>16</v>
      </c>
      <c r="B2268">
        <v>22</v>
      </c>
      <c r="C2268" t="s">
        <v>2801</v>
      </c>
      <c r="D2268" s="64">
        <f>VLOOKUP(C2268,'CHAS - Cook Co'!$C$1:$J$2762,2,FALSE) - VLOOKUP(C2268,'CHAS - Chicago'!$C$1:$J$2762,2,FALSE)</f>
        <v>230</v>
      </c>
      <c r="E2268" t="s">
        <v>373</v>
      </c>
      <c r="F2268" s="71" t="s">
        <v>367</v>
      </c>
      <c r="G2268" s="71" t="s">
        <v>371</v>
      </c>
      <c r="H2268" s="71" t="s">
        <v>2799</v>
      </c>
      <c r="I2268" s="71" t="s">
        <v>2780</v>
      </c>
    </row>
    <row r="2269" spans="1:9" ht="43.5" x14ac:dyDescent="0.35">
      <c r="A2269">
        <v>16</v>
      </c>
      <c r="B2269">
        <v>23</v>
      </c>
      <c r="C2269" t="s">
        <v>2802</v>
      </c>
      <c r="D2269" s="64">
        <f>VLOOKUP(C2269,'CHAS - Cook Co'!$C$1:$J$2762,2,FALSE) - VLOOKUP(C2269,'CHAS - Chicago'!$C$1:$J$2762,2,FALSE)</f>
        <v>2450</v>
      </c>
      <c r="E2269" t="s">
        <v>373</v>
      </c>
      <c r="F2269" s="71" t="s">
        <v>367</v>
      </c>
      <c r="G2269" s="71" t="s">
        <v>371</v>
      </c>
      <c r="H2269" s="71" t="s">
        <v>2799</v>
      </c>
      <c r="I2269" s="71" t="s">
        <v>2782</v>
      </c>
    </row>
    <row r="2270" spans="1:9" ht="43.5" x14ac:dyDescent="0.35">
      <c r="A2270">
        <v>16</v>
      </c>
      <c r="B2270">
        <v>24</v>
      </c>
      <c r="C2270" t="s">
        <v>2803</v>
      </c>
      <c r="D2270" s="64">
        <f>VLOOKUP(C2270,'CHAS - Cook Co'!$C$1:$J$2762,2,FALSE) - VLOOKUP(C2270,'CHAS - Chicago'!$C$1:$J$2762,2,FALSE)</f>
        <v>66330</v>
      </c>
      <c r="E2270" t="s">
        <v>366</v>
      </c>
      <c r="F2270" s="71" t="s">
        <v>367</v>
      </c>
      <c r="G2270" s="71" t="s">
        <v>388</v>
      </c>
      <c r="H2270" s="71" t="s">
        <v>982</v>
      </c>
      <c r="I2270" s="71" t="s">
        <v>2772</v>
      </c>
    </row>
    <row r="2271" spans="1:9" ht="43.5" x14ac:dyDescent="0.35">
      <c r="A2271">
        <v>16</v>
      </c>
      <c r="B2271">
        <v>25</v>
      </c>
      <c r="C2271" t="s">
        <v>2804</v>
      </c>
      <c r="D2271" s="64">
        <f>VLOOKUP(C2271,'CHAS - Cook Co'!$C$1:$J$2762,2,FALSE) - VLOOKUP(C2271,'CHAS - Chicago'!$C$1:$J$2762,2,FALSE)</f>
        <v>13335</v>
      </c>
      <c r="E2271" t="s">
        <v>366</v>
      </c>
      <c r="F2271" s="71" t="s">
        <v>367</v>
      </c>
      <c r="G2271" s="71" t="s">
        <v>2805</v>
      </c>
      <c r="H2271" s="71" t="s">
        <v>2776</v>
      </c>
      <c r="I2271" s="71" t="s">
        <v>2772</v>
      </c>
    </row>
    <row r="2272" spans="1:9" ht="43.5" x14ac:dyDescent="0.35">
      <c r="A2272">
        <v>16</v>
      </c>
      <c r="B2272">
        <v>26</v>
      </c>
      <c r="C2272" t="s">
        <v>2806</v>
      </c>
      <c r="D2272" s="64">
        <f>VLOOKUP(C2272,'CHAS - Cook Co'!$C$1:$J$2762,2,FALSE) - VLOOKUP(C2272,'CHAS - Chicago'!$C$1:$J$2762,2,FALSE)</f>
        <v>8605</v>
      </c>
      <c r="E2272" t="s">
        <v>373</v>
      </c>
      <c r="F2272" s="71" t="s">
        <v>367</v>
      </c>
      <c r="G2272" s="71" t="s">
        <v>2805</v>
      </c>
      <c r="H2272" s="71" t="s">
        <v>2776</v>
      </c>
      <c r="I2272" s="71" t="s">
        <v>2778</v>
      </c>
    </row>
    <row r="2273" spans="1:9" ht="43.5" x14ac:dyDescent="0.35">
      <c r="A2273">
        <v>16</v>
      </c>
      <c r="B2273">
        <v>27</v>
      </c>
      <c r="C2273" t="s">
        <v>2807</v>
      </c>
      <c r="D2273" s="64">
        <f>VLOOKUP(C2273,'CHAS - Cook Co'!$C$1:$J$2762,2,FALSE) - VLOOKUP(C2273,'CHAS - Chicago'!$C$1:$J$2762,2,FALSE)</f>
        <v>4725</v>
      </c>
      <c r="E2273" t="s">
        <v>373</v>
      </c>
      <c r="F2273" s="71" t="s">
        <v>367</v>
      </c>
      <c r="G2273" s="71" t="s">
        <v>2805</v>
      </c>
      <c r="H2273" s="71" t="s">
        <v>2776</v>
      </c>
      <c r="I2273" s="71" t="s">
        <v>2780</v>
      </c>
    </row>
    <row r="2274" spans="1:9" ht="43.5" x14ac:dyDescent="0.35">
      <c r="A2274">
        <v>16</v>
      </c>
      <c r="B2274">
        <v>28</v>
      </c>
      <c r="C2274" t="s">
        <v>2808</v>
      </c>
      <c r="D2274" s="64">
        <f>VLOOKUP(C2274,'CHAS - Cook Co'!$C$1:$J$2762,2,FALSE) - VLOOKUP(C2274,'CHAS - Chicago'!$C$1:$J$2762,2,FALSE)</f>
        <v>0</v>
      </c>
      <c r="E2274" t="s">
        <v>373</v>
      </c>
      <c r="F2274" s="71" t="s">
        <v>367</v>
      </c>
      <c r="G2274" s="71" t="s">
        <v>2805</v>
      </c>
      <c r="H2274" s="71" t="s">
        <v>2776</v>
      </c>
      <c r="I2274" s="71" t="s">
        <v>2782</v>
      </c>
    </row>
    <row r="2275" spans="1:9" ht="43.5" x14ac:dyDescent="0.35">
      <c r="A2275">
        <v>16</v>
      </c>
      <c r="B2275">
        <v>29</v>
      </c>
      <c r="C2275" t="s">
        <v>2809</v>
      </c>
      <c r="D2275" s="64">
        <f>VLOOKUP(C2275,'CHAS - Cook Co'!$C$1:$J$2762,2,FALSE) - VLOOKUP(C2275,'CHAS - Chicago'!$C$1:$J$2762,2,FALSE)</f>
        <v>16705</v>
      </c>
      <c r="E2275" t="s">
        <v>366</v>
      </c>
      <c r="F2275" s="71" t="s">
        <v>367</v>
      </c>
      <c r="G2275" s="71" t="s">
        <v>388</v>
      </c>
      <c r="H2275" s="71" t="s">
        <v>2784</v>
      </c>
      <c r="I2275" s="71" t="s">
        <v>2772</v>
      </c>
    </row>
    <row r="2276" spans="1:9" ht="43.5" x14ac:dyDescent="0.35">
      <c r="A2276">
        <v>16</v>
      </c>
      <c r="B2276">
        <v>30</v>
      </c>
      <c r="C2276" t="s">
        <v>2810</v>
      </c>
      <c r="D2276" s="64">
        <f>VLOOKUP(C2276,'CHAS - Cook Co'!$C$1:$J$2762,2,FALSE) - VLOOKUP(C2276,'CHAS - Chicago'!$C$1:$J$2762,2,FALSE)</f>
        <v>13045</v>
      </c>
      <c r="E2276" t="s">
        <v>373</v>
      </c>
      <c r="F2276" s="71" t="s">
        <v>367</v>
      </c>
      <c r="G2276" s="71" t="s">
        <v>388</v>
      </c>
      <c r="H2276" s="71" t="s">
        <v>2784</v>
      </c>
      <c r="I2276" s="71" t="s">
        <v>2778</v>
      </c>
    </row>
    <row r="2277" spans="1:9" ht="43.5" x14ac:dyDescent="0.35">
      <c r="A2277">
        <v>16</v>
      </c>
      <c r="B2277">
        <v>31</v>
      </c>
      <c r="C2277" t="s">
        <v>2811</v>
      </c>
      <c r="D2277" s="64">
        <f>VLOOKUP(C2277,'CHAS - Cook Co'!$C$1:$J$2762,2,FALSE) - VLOOKUP(C2277,'CHAS - Chicago'!$C$1:$J$2762,2,FALSE)</f>
        <v>3660</v>
      </c>
      <c r="E2277" t="s">
        <v>373</v>
      </c>
      <c r="F2277" s="71" t="s">
        <v>367</v>
      </c>
      <c r="G2277" s="71" t="s">
        <v>388</v>
      </c>
      <c r="H2277" s="71" t="s">
        <v>2784</v>
      </c>
      <c r="I2277" s="71" t="s">
        <v>2780</v>
      </c>
    </row>
    <row r="2278" spans="1:9" ht="43.5" x14ac:dyDescent="0.35">
      <c r="A2278">
        <v>16</v>
      </c>
      <c r="B2278">
        <v>32</v>
      </c>
      <c r="C2278" t="s">
        <v>2812</v>
      </c>
      <c r="D2278" s="64">
        <f>VLOOKUP(C2278,'CHAS - Cook Co'!$C$1:$J$2762,2,FALSE) - VLOOKUP(C2278,'CHAS - Chicago'!$C$1:$J$2762,2,FALSE)</f>
        <v>0</v>
      </c>
      <c r="E2278" t="s">
        <v>373</v>
      </c>
      <c r="F2278" s="71" t="s">
        <v>367</v>
      </c>
      <c r="G2278" s="71" t="s">
        <v>388</v>
      </c>
      <c r="H2278" s="71" t="s">
        <v>2784</v>
      </c>
      <c r="I2278" s="71" t="s">
        <v>2782</v>
      </c>
    </row>
    <row r="2279" spans="1:9" ht="43.5" x14ac:dyDescent="0.35">
      <c r="A2279">
        <v>16</v>
      </c>
      <c r="B2279">
        <v>33</v>
      </c>
      <c r="C2279" t="s">
        <v>2813</v>
      </c>
      <c r="D2279" s="64">
        <f>VLOOKUP(C2279,'CHAS - Cook Co'!$C$1:$J$2762,2,FALSE) - VLOOKUP(C2279,'CHAS - Chicago'!$C$1:$J$2762,2,FALSE)</f>
        <v>6695</v>
      </c>
      <c r="E2279" t="s">
        <v>366</v>
      </c>
      <c r="F2279" s="71" t="s">
        <v>367</v>
      </c>
      <c r="G2279" s="71" t="s">
        <v>388</v>
      </c>
      <c r="H2279" s="71" t="s">
        <v>2789</v>
      </c>
      <c r="I2279" s="71" t="s">
        <v>2772</v>
      </c>
    </row>
    <row r="2280" spans="1:9" ht="43.5" x14ac:dyDescent="0.35">
      <c r="A2280">
        <v>16</v>
      </c>
      <c r="B2280">
        <v>34</v>
      </c>
      <c r="C2280" t="s">
        <v>2814</v>
      </c>
      <c r="D2280" s="64">
        <f>VLOOKUP(C2280,'CHAS - Cook Co'!$C$1:$J$2762,2,FALSE) - VLOOKUP(C2280,'CHAS - Chicago'!$C$1:$J$2762,2,FALSE)</f>
        <v>5680</v>
      </c>
      <c r="E2280" t="s">
        <v>373</v>
      </c>
      <c r="F2280" s="71" t="s">
        <v>367</v>
      </c>
      <c r="G2280" s="71" t="s">
        <v>388</v>
      </c>
      <c r="H2280" s="71" t="s">
        <v>2789</v>
      </c>
      <c r="I2280" s="71" t="s">
        <v>2778</v>
      </c>
    </row>
    <row r="2281" spans="1:9" ht="43.5" x14ac:dyDescent="0.35">
      <c r="A2281">
        <v>16</v>
      </c>
      <c r="B2281">
        <v>35</v>
      </c>
      <c r="C2281" t="s">
        <v>2815</v>
      </c>
      <c r="D2281" s="64">
        <f>VLOOKUP(C2281,'CHAS - Cook Co'!$C$1:$J$2762,2,FALSE) - VLOOKUP(C2281,'CHAS - Chicago'!$C$1:$J$2762,2,FALSE)</f>
        <v>1025</v>
      </c>
      <c r="E2281" t="s">
        <v>373</v>
      </c>
      <c r="F2281" s="71" t="s">
        <v>367</v>
      </c>
      <c r="G2281" s="71" t="s">
        <v>388</v>
      </c>
      <c r="H2281" s="71" t="s">
        <v>2789</v>
      </c>
      <c r="I2281" s="71" t="s">
        <v>2780</v>
      </c>
    </row>
    <row r="2282" spans="1:9" ht="43.5" x14ac:dyDescent="0.35">
      <c r="A2282">
        <v>16</v>
      </c>
      <c r="B2282">
        <v>36</v>
      </c>
      <c r="C2282" t="s">
        <v>2816</v>
      </c>
      <c r="D2282" s="64">
        <f>VLOOKUP(C2282,'CHAS - Cook Co'!$C$1:$J$2762,2,FALSE) - VLOOKUP(C2282,'CHAS - Chicago'!$C$1:$J$2762,2,FALSE)</f>
        <v>0</v>
      </c>
      <c r="E2282" t="s">
        <v>373</v>
      </c>
      <c r="F2282" s="71" t="s">
        <v>367</v>
      </c>
      <c r="G2282" s="71" t="s">
        <v>388</v>
      </c>
      <c r="H2282" s="71" t="s">
        <v>2789</v>
      </c>
      <c r="I2282" s="71" t="s">
        <v>2782</v>
      </c>
    </row>
    <row r="2283" spans="1:9" ht="58" x14ac:dyDescent="0.35">
      <c r="A2283">
        <v>16</v>
      </c>
      <c r="B2283">
        <v>37</v>
      </c>
      <c r="C2283" t="s">
        <v>2817</v>
      </c>
      <c r="D2283" s="64">
        <f>VLOOKUP(C2283,'CHAS - Cook Co'!$C$1:$J$2762,2,FALSE) - VLOOKUP(C2283,'CHAS - Chicago'!$C$1:$J$2762,2,FALSE)</f>
        <v>22830</v>
      </c>
      <c r="E2283" t="s">
        <v>366</v>
      </c>
      <c r="F2283" s="71" t="s">
        <v>367</v>
      </c>
      <c r="G2283" s="71" t="s">
        <v>388</v>
      </c>
      <c r="H2283" s="71" t="s">
        <v>2794</v>
      </c>
      <c r="I2283" s="71" t="s">
        <v>2772</v>
      </c>
    </row>
    <row r="2284" spans="1:9" ht="58" x14ac:dyDescent="0.35">
      <c r="A2284">
        <v>16</v>
      </c>
      <c r="B2284">
        <v>38</v>
      </c>
      <c r="C2284" t="s">
        <v>2818</v>
      </c>
      <c r="D2284" s="64">
        <f>VLOOKUP(C2284,'CHAS - Cook Co'!$C$1:$J$2762,2,FALSE) - VLOOKUP(C2284,'CHAS - Chicago'!$C$1:$J$2762,2,FALSE)</f>
        <v>14125</v>
      </c>
      <c r="E2284" t="s">
        <v>373</v>
      </c>
      <c r="F2284" s="71" t="s">
        <v>367</v>
      </c>
      <c r="G2284" s="71" t="s">
        <v>388</v>
      </c>
      <c r="H2284" s="71" t="s">
        <v>2794</v>
      </c>
      <c r="I2284" s="71" t="s">
        <v>2778</v>
      </c>
    </row>
    <row r="2285" spans="1:9" ht="58" x14ac:dyDescent="0.35">
      <c r="A2285">
        <v>16</v>
      </c>
      <c r="B2285">
        <v>39</v>
      </c>
      <c r="C2285" t="s">
        <v>2819</v>
      </c>
      <c r="D2285" s="64">
        <f>VLOOKUP(C2285,'CHAS - Cook Co'!$C$1:$J$2762,2,FALSE) - VLOOKUP(C2285,'CHAS - Chicago'!$C$1:$J$2762,2,FALSE)</f>
        <v>8700</v>
      </c>
      <c r="E2285" t="s">
        <v>373</v>
      </c>
      <c r="F2285" s="71" t="s">
        <v>367</v>
      </c>
      <c r="G2285" s="71" t="s">
        <v>388</v>
      </c>
      <c r="H2285" s="71" t="s">
        <v>2794</v>
      </c>
      <c r="I2285" s="71" t="s">
        <v>2780</v>
      </c>
    </row>
    <row r="2286" spans="1:9" ht="58" x14ac:dyDescent="0.35">
      <c r="A2286">
        <v>16</v>
      </c>
      <c r="B2286">
        <v>40</v>
      </c>
      <c r="C2286" t="s">
        <v>2820</v>
      </c>
      <c r="D2286" s="64">
        <f>VLOOKUP(C2286,'CHAS - Cook Co'!$C$1:$J$2762,2,FALSE) - VLOOKUP(C2286,'CHAS - Chicago'!$C$1:$J$2762,2,FALSE)</f>
        <v>0</v>
      </c>
      <c r="E2286" t="s">
        <v>373</v>
      </c>
      <c r="F2286" s="71" t="s">
        <v>367</v>
      </c>
      <c r="G2286" s="71" t="s">
        <v>388</v>
      </c>
      <c r="H2286" s="71" t="s">
        <v>2794</v>
      </c>
      <c r="I2286" s="71" t="s">
        <v>2782</v>
      </c>
    </row>
    <row r="2287" spans="1:9" ht="43.5" x14ac:dyDescent="0.35">
      <c r="A2287">
        <v>16</v>
      </c>
      <c r="B2287">
        <v>41</v>
      </c>
      <c r="C2287" t="s">
        <v>2821</v>
      </c>
      <c r="D2287" s="64">
        <f>VLOOKUP(C2287,'CHAS - Cook Co'!$C$1:$J$2762,2,FALSE) - VLOOKUP(C2287,'CHAS - Chicago'!$C$1:$J$2762,2,FALSE)</f>
        <v>6765</v>
      </c>
      <c r="E2287" t="s">
        <v>366</v>
      </c>
      <c r="F2287" s="71" t="s">
        <v>367</v>
      </c>
      <c r="G2287" s="71" t="s">
        <v>388</v>
      </c>
      <c r="H2287" s="71" t="s">
        <v>2799</v>
      </c>
      <c r="I2287" s="71" t="s">
        <v>2772</v>
      </c>
    </row>
    <row r="2288" spans="1:9" ht="43.5" x14ac:dyDescent="0.35">
      <c r="A2288">
        <v>16</v>
      </c>
      <c r="B2288">
        <v>42</v>
      </c>
      <c r="C2288" t="s">
        <v>2822</v>
      </c>
      <c r="D2288" s="64">
        <f>VLOOKUP(C2288,'CHAS - Cook Co'!$C$1:$J$2762,2,FALSE) - VLOOKUP(C2288,'CHAS - Chicago'!$C$1:$J$2762,2,FALSE)</f>
        <v>5385</v>
      </c>
      <c r="E2288" t="s">
        <v>373</v>
      </c>
      <c r="F2288" s="71" t="s">
        <v>367</v>
      </c>
      <c r="G2288" s="71" t="s">
        <v>388</v>
      </c>
      <c r="H2288" s="71" t="s">
        <v>2799</v>
      </c>
      <c r="I2288" s="71" t="s">
        <v>2778</v>
      </c>
    </row>
    <row r="2289" spans="1:9" ht="43.5" x14ac:dyDescent="0.35">
      <c r="A2289">
        <v>16</v>
      </c>
      <c r="B2289">
        <v>43</v>
      </c>
      <c r="C2289" t="s">
        <v>2823</v>
      </c>
      <c r="D2289" s="64">
        <f>VLOOKUP(C2289,'CHAS - Cook Co'!$C$1:$J$2762,2,FALSE) - VLOOKUP(C2289,'CHAS - Chicago'!$C$1:$J$2762,2,FALSE)</f>
        <v>1375</v>
      </c>
      <c r="E2289" t="s">
        <v>373</v>
      </c>
      <c r="F2289" s="71" t="s">
        <v>367</v>
      </c>
      <c r="G2289" s="71" t="s">
        <v>388</v>
      </c>
      <c r="H2289" s="71" t="s">
        <v>2799</v>
      </c>
      <c r="I2289" s="71" t="s">
        <v>2780</v>
      </c>
    </row>
    <row r="2290" spans="1:9" ht="43.5" x14ac:dyDescent="0.35">
      <c r="A2290">
        <v>16</v>
      </c>
      <c r="B2290">
        <v>44</v>
      </c>
      <c r="C2290" t="s">
        <v>2824</v>
      </c>
      <c r="D2290" s="64">
        <f>VLOOKUP(C2290,'CHAS - Cook Co'!$C$1:$J$2762,2,FALSE) - VLOOKUP(C2290,'CHAS - Chicago'!$C$1:$J$2762,2,FALSE)</f>
        <v>0</v>
      </c>
      <c r="E2290" t="s">
        <v>373</v>
      </c>
      <c r="F2290" s="71" t="s">
        <v>367</v>
      </c>
      <c r="G2290" s="71" t="s">
        <v>388</v>
      </c>
      <c r="H2290" s="71" t="s">
        <v>2799</v>
      </c>
      <c r="I2290" s="71" t="s">
        <v>2782</v>
      </c>
    </row>
    <row r="2291" spans="1:9" ht="43.5" x14ac:dyDescent="0.35">
      <c r="A2291">
        <v>16</v>
      </c>
      <c r="B2291">
        <v>45</v>
      </c>
      <c r="C2291" t="s">
        <v>2825</v>
      </c>
      <c r="D2291" s="64">
        <f>VLOOKUP(C2291,'CHAS - Cook Co'!$C$1:$J$2762,2,FALSE) - VLOOKUP(C2291,'CHAS - Chicago'!$C$1:$J$2762,2,FALSE)</f>
        <v>102890</v>
      </c>
      <c r="E2291" t="s">
        <v>366</v>
      </c>
      <c r="F2291" s="71" t="s">
        <v>367</v>
      </c>
      <c r="G2291" s="71" t="s">
        <v>397</v>
      </c>
      <c r="H2291" s="71" t="s">
        <v>982</v>
      </c>
      <c r="I2291" s="71" t="s">
        <v>2772</v>
      </c>
    </row>
    <row r="2292" spans="1:9" ht="43.5" x14ac:dyDescent="0.35">
      <c r="A2292">
        <v>16</v>
      </c>
      <c r="B2292">
        <v>46</v>
      </c>
      <c r="C2292" t="s">
        <v>2826</v>
      </c>
      <c r="D2292" s="64">
        <f>VLOOKUP(C2292,'CHAS - Cook Co'!$C$1:$J$2762,2,FALSE) - VLOOKUP(C2292,'CHAS - Chicago'!$C$1:$J$2762,2,FALSE)</f>
        <v>20735</v>
      </c>
      <c r="E2292" t="s">
        <v>366</v>
      </c>
      <c r="F2292" s="71" t="s">
        <v>367</v>
      </c>
      <c r="G2292" s="71" t="s">
        <v>2827</v>
      </c>
      <c r="H2292" s="71" t="s">
        <v>2776</v>
      </c>
      <c r="I2292" s="71" t="s">
        <v>2772</v>
      </c>
    </row>
    <row r="2293" spans="1:9" ht="43.5" x14ac:dyDescent="0.35">
      <c r="A2293">
        <v>16</v>
      </c>
      <c r="B2293">
        <v>47</v>
      </c>
      <c r="C2293" t="s">
        <v>2828</v>
      </c>
      <c r="D2293" s="64">
        <f>VLOOKUP(C2293,'CHAS - Cook Co'!$C$1:$J$2762,2,FALSE) - VLOOKUP(C2293,'CHAS - Chicago'!$C$1:$J$2762,2,FALSE)</f>
        <v>7825</v>
      </c>
      <c r="E2293" t="s">
        <v>373</v>
      </c>
      <c r="F2293" s="71" t="s">
        <v>367</v>
      </c>
      <c r="G2293" s="71" t="s">
        <v>2827</v>
      </c>
      <c r="H2293" s="71" t="s">
        <v>2776</v>
      </c>
      <c r="I2293" s="71" t="s">
        <v>2778</v>
      </c>
    </row>
    <row r="2294" spans="1:9" ht="43.5" x14ac:dyDescent="0.35">
      <c r="A2294">
        <v>16</v>
      </c>
      <c r="B2294">
        <v>48</v>
      </c>
      <c r="C2294" t="s">
        <v>2829</v>
      </c>
      <c r="D2294" s="64">
        <f>VLOOKUP(C2294,'CHAS - Cook Co'!$C$1:$J$2762,2,FALSE) - VLOOKUP(C2294,'CHAS - Chicago'!$C$1:$J$2762,2,FALSE)</f>
        <v>12910</v>
      </c>
      <c r="E2294" t="s">
        <v>373</v>
      </c>
      <c r="F2294" s="71" t="s">
        <v>367</v>
      </c>
      <c r="G2294" s="71" t="s">
        <v>2827</v>
      </c>
      <c r="H2294" s="71" t="s">
        <v>2776</v>
      </c>
      <c r="I2294" s="71" t="s">
        <v>2780</v>
      </c>
    </row>
    <row r="2295" spans="1:9" ht="43.5" x14ac:dyDescent="0.35">
      <c r="A2295">
        <v>16</v>
      </c>
      <c r="B2295">
        <v>49</v>
      </c>
      <c r="C2295" t="s">
        <v>2830</v>
      </c>
      <c r="D2295" s="64">
        <f>VLOOKUP(C2295,'CHAS - Cook Co'!$C$1:$J$2762,2,FALSE) - VLOOKUP(C2295,'CHAS - Chicago'!$C$1:$J$2762,2,FALSE)</f>
        <v>0</v>
      </c>
      <c r="E2295" t="s">
        <v>373</v>
      </c>
      <c r="F2295" s="71" t="s">
        <v>367</v>
      </c>
      <c r="G2295" s="71" t="s">
        <v>2827</v>
      </c>
      <c r="H2295" s="71" t="s">
        <v>2776</v>
      </c>
      <c r="I2295" s="71" t="s">
        <v>2782</v>
      </c>
    </row>
    <row r="2296" spans="1:9" ht="43.5" x14ac:dyDescent="0.35">
      <c r="A2296">
        <v>16</v>
      </c>
      <c r="B2296">
        <v>50</v>
      </c>
      <c r="C2296" t="s">
        <v>2831</v>
      </c>
      <c r="D2296" s="64">
        <f>VLOOKUP(C2296,'CHAS - Cook Co'!$C$1:$J$2762,2,FALSE) - VLOOKUP(C2296,'CHAS - Chicago'!$C$1:$J$2762,2,FALSE)</f>
        <v>36880</v>
      </c>
      <c r="E2296" t="s">
        <v>366</v>
      </c>
      <c r="F2296" s="71" t="s">
        <v>367</v>
      </c>
      <c r="G2296" s="71" t="s">
        <v>397</v>
      </c>
      <c r="H2296" s="71" t="s">
        <v>2784</v>
      </c>
      <c r="I2296" s="71" t="s">
        <v>2772</v>
      </c>
    </row>
    <row r="2297" spans="1:9" ht="43.5" x14ac:dyDescent="0.35">
      <c r="A2297">
        <v>16</v>
      </c>
      <c r="B2297">
        <v>51</v>
      </c>
      <c r="C2297" t="s">
        <v>2832</v>
      </c>
      <c r="D2297" s="64">
        <f>VLOOKUP(C2297,'CHAS - Cook Co'!$C$1:$J$2762,2,FALSE) - VLOOKUP(C2297,'CHAS - Chicago'!$C$1:$J$2762,2,FALSE)</f>
        <v>21785</v>
      </c>
      <c r="E2297" t="s">
        <v>373</v>
      </c>
      <c r="F2297" s="71" t="s">
        <v>367</v>
      </c>
      <c r="G2297" s="71" t="s">
        <v>397</v>
      </c>
      <c r="H2297" s="71" t="s">
        <v>2784</v>
      </c>
      <c r="I2297" s="71" t="s">
        <v>2778</v>
      </c>
    </row>
    <row r="2298" spans="1:9" ht="43.5" x14ac:dyDescent="0.35">
      <c r="A2298">
        <v>16</v>
      </c>
      <c r="B2298">
        <v>52</v>
      </c>
      <c r="C2298" t="s">
        <v>2833</v>
      </c>
      <c r="D2298" s="64">
        <f>VLOOKUP(C2298,'CHAS - Cook Co'!$C$1:$J$2762,2,FALSE) - VLOOKUP(C2298,'CHAS - Chicago'!$C$1:$J$2762,2,FALSE)</f>
        <v>15095</v>
      </c>
      <c r="E2298" t="s">
        <v>373</v>
      </c>
      <c r="F2298" s="71" t="s">
        <v>367</v>
      </c>
      <c r="G2298" s="71" t="s">
        <v>397</v>
      </c>
      <c r="H2298" s="71" t="s">
        <v>2784</v>
      </c>
      <c r="I2298" s="71" t="s">
        <v>2780</v>
      </c>
    </row>
    <row r="2299" spans="1:9" ht="43.5" x14ac:dyDescent="0.35">
      <c r="A2299">
        <v>16</v>
      </c>
      <c r="B2299">
        <v>53</v>
      </c>
      <c r="C2299" t="s">
        <v>2834</v>
      </c>
      <c r="D2299" s="64">
        <f>VLOOKUP(C2299,'CHAS - Cook Co'!$C$1:$J$2762,2,FALSE) - VLOOKUP(C2299,'CHAS - Chicago'!$C$1:$J$2762,2,FALSE)</f>
        <v>0</v>
      </c>
      <c r="E2299" t="s">
        <v>373</v>
      </c>
      <c r="F2299" s="71" t="s">
        <v>367</v>
      </c>
      <c r="G2299" s="71" t="s">
        <v>397</v>
      </c>
      <c r="H2299" s="71" t="s">
        <v>2784</v>
      </c>
      <c r="I2299" s="71" t="s">
        <v>2782</v>
      </c>
    </row>
    <row r="2300" spans="1:9" ht="43.5" x14ac:dyDescent="0.35">
      <c r="A2300">
        <v>16</v>
      </c>
      <c r="B2300">
        <v>54</v>
      </c>
      <c r="C2300" t="s">
        <v>2835</v>
      </c>
      <c r="D2300" s="64">
        <f>VLOOKUP(C2300,'CHAS - Cook Co'!$C$1:$J$2762,2,FALSE) - VLOOKUP(C2300,'CHAS - Chicago'!$C$1:$J$2762,2,FALSE)</f>
        <v>11755</v>
      </c>
      <c r="E2300" t="s">
        <v>366</v>
      </c>
      <c r="F2300" s="71" t="s">
        <v>367</v>
      </c>
      <c r="G2300" s="71" t="s">
        <v>397</v>
      </c>
      <c r="H2300" s="71" t="s">
        <v>2789</v>
      </c>
      <c r="I2300" s="71" t="s">
        <v>2772</v>
      </c>
    </row>
    <row r="2301" spans="1:9" ht="43.5" x14ac:dyDescent="0.35">
      <c r="A2301">
        <v>16</v>
      </c>
      <c r="B2301">
        <v>55</v>
      </c>
      <c r="C2301" t="s">
        <v>2836</v>
      </c>
      <c r="D2301" s="64">
        <f>VLOOKUP(C2301,'CHAS - Cook Co'!$C$1:$J$2762,2,FALSE) - VLOOKUP(C2301,'CHAS - Chicago'!$C$1:$J$2762,2,FALSE)</f>
        <v>7320</v>
      </c>
      <c r="E2301" t="s">
        <v>373</v>
      </c>
      <c r="F2301" s="71" t="s">
        <v>367</v>
      </c>
      <c r="G2301" s="71" t="s">
        <v>397</v>
      </c>
      <c r="H2301" s="71" t="s">
        <v>2789</v>
      </c>
      <c r="I2301" s="71" t="s">
        <v>2778</v>
      </c>
    </row>
    <row r="2302" spans="1:9" ht="43.5" x14ac:dyDescent="0.35">
      <c r="A2302">
        <v>16</v>
      </c>
      <c r="B2302">
        <v>56</v>
      </c>
      <c r="C2302" t="s">
        <v>2837</v>
      </c>
      <c r="D2302" s="64">
        <f>VLOOKUP(C2302,'CHAS - Cook Co'!$C$1:$J$2762,2,FALSE) - VLOOKUP(C2302,'CHAS - Chicago'!$C$1:$J$2762,2,FALSE)</f>
        <v>4435</v>
      </c>
      <c r="E2302" t="s">
        <v>373</v>
      </c>
      <c r="F2302" s="71" t="s">
        <v>367</v>
      </c>
      <c r="G2302" s="71" t="s">
        <v>397</v>
      </c>
      <c r="H2302" s="71" t="s">
        <v>2789</v>
      </c>
      <c r="I2302" s="71" t="s">
        <v>2780</v>
      </c>
    </row>
    <row r="2303" spans="1:9" ht="43.5" x14ac:dyDescent="0.35">
      <c r="A2303">
        <v>16</v>
      </c>
      <c r="B2303">
        <v>57</v>
      </c>
      <c r="C2303" t="s">
        <v>2838</v>
      </c>
      <c r="D2303" s="64">
        <f>VLOOKUP(C2303,'CHAS - Cook Co'!$C$1:$J$2762,2,FALSE) - VLOOKUP(C2303,'CHAS - Chicago'!$C$1:$J$2762,2,FALSE)</f>
        <v>0</v>
      </c>
      <c r="E2303" t="s">
        <v>373</v>
      </c>
      <c r="F2303" s="71" t="s">
        <v>367</v>
      </c>
      <c r="G2303" s="71" t="s">
        <v>397</v>
      </c>
      <c r="H2303" s="71" t="s">
        <v>2789</v>
      </c>
      <c r="I2303" s="71" t="s">
        <v>2782</v>
      </c>
    </row>
    <row r="2304" spans="1:9" ht="58" x14ac:dyDescent="0.35">
      <c r="A2304">
        <v>16</v>
      </c>
      <c r="B2304">
        <v>58</v>
      </c>
      <c r="C2304" t="s">
        <v>2839</v>
      </c>
      <c r="D2304" s="64">
        <f>VLOOKUP(C2304,'CHAS - Cook Co'!$C$1:$J$2762,2,FALSE) - VLOOKUP(C2304,'CHAS - Chicago'!$C$1:$J$2762,2,FALSE)</f>
        <v>19480</v>
      </c>
      <c r="E2304" t="s">
        <v>366</v>
      </c>
      <c r="F2304" s="71" t="s">
        <v>367</v>
      </c>
      <c r="G2304" s="71" t="s">
        <v>397</v>
      </c>
      <c r="H2304" s="71" t="s">
        <v>2794</v>
      </c>
      <c r="I2304" s="71" t="s">
        <v>2772</v>
      </c>
    </row>
    <row r="2305" spans="1:9" ht="58" x14ac:dyDescent="0.35">
      <c r="A2305">
        <v>16</v>
      </c>
      <c r="B2305">
        <v>59</v>
      </c>
      <c r="C2305" t="s">
        <v>2840</v>
      </c>
      <c r="D2305" s="64">
        <f>VLOOKUP(C2305,'CHAS - Cook Co'!$C$1:$J$2762,2,FALSE) - VLOOKUP(C2305,'CHAS - Chicago'!$C$1:$J$2762,2,FALSE)</f>
        <v>6840</v>
      </c>
      <c r="E2305" t="s">
        <v>373</v>
      </c>
      <c r="F2305" s="71" t="s">
        <v>367</v>
      </c>
      <c r="G2305" s="71" t="s">
        <v>397</v>
      </c>
      <c r="H2305" s="71" t="s">
        <v>2794</v>
      </c>
      <c r="I2305" s="71" t="s">
        <v>2778</v>
      </c>
    </row>
    <row r="2306" spans="1:9" ht="58" x14ac:dyDescent="0.35">
      <c r="A2306">
        <v>16</v>
      </c>
      <c r="B2306">
        <v>60</v>
      </c>
      <c r="C2306" t="s">
        <v>2841</v>
      </c>
      <c r="D2306" s="64">
        <f>VLOOKUP(C2306,'CHAS - Cook Co'!$C$1:$J$2762,2,FALSE) - VLOOKUP(C2306,'CHAS - Chicago'!$C$1:$J$2762,2,FALSE)</f>
        <v>12640</v>
      </c>
      <c r="E2306" t="s">
        <v>373</v>
      </c>
      <c r="F2306" s="71" t="s">
        <v>367</v>
      </c>
      <c r="G2306" s="71" t="s">
        <v>397</v>
      </c>
      <c r="H2306" s="71" t="s">
        <v>2794</v>
      </c>
      <c r="I2306" s="71" t="s">
        <v>2780</v>
      </c>
    </row>
    <row r="2307" spans="1:9" ht="58" x14ac:dyDescent="0.35">
      <c r="A2307">
        <v>16</v>
      </c>
      <c r="B2307">
        <v>61</v>
      </c>
      <c r="C2307" t="s">
        <v>2842</v>
      </c>
      <c r="D2307" s="64">
        <f>VLOOKUP(C2307,'CHAS - Cook Co'!$C$1:$J$2762,2,FALSE) - VLOOKUP(C2307,'CHAS - Chicago'!$C$1:$J$2762,2,FALSE)</f>
        <v>0</v>
      </c>
      <c r="E2307" t="s">
        <v>373</v>
      </c>
      <c r="F2307" s="71" t="s">
        <v>367</v>
      </c>
      <c r="G2307" s="71" t="s">
        <v>397</v>
      </c>
      <c r="H2307" s="71" t="s">
        <v>2794</v>
      </c>
      <c r="I2307" s="71" t="s">
        <v>2782</v>
      </c>
    </row>
    <row r="2308" spans="1:9" ht="43.5" x14ac:dyDescent="0.35">
      <c r="A2308">
        <v>16</v>
      </c>
      <c r="B2308">
        <v>62</v>
      </c>
      <c r="C2308" t="s">
        <v>2843</v>
      </c>
      <c r="D2308" s="64">
        <f>VLOOKUP(C2308,'CHAS - Cook Co'!$C$1:$J$2762,2,FALSE) - VLOOKUP(C2308,'CHAS - Chicago'!$C$1:$J$2762,2,FALSE)</f>
        <v>14045</v>
      </c>
      <c r="E2308" t="s">
        <v>366</v>
      </c>
      <c r="F2308" s="71" t="s">
        <v>367</v>
      </c>
      <c r="G2308" s="71" t="s">
        <v>397</v>
      </c>
      <c r="H2308" s="71" t="s">
        <v>2799</v>
      </c>
      <c r="I2308" s="71" t="s">
        <v>2772</v>
      </c>
    </row>
    <row r="2309" spans="1:9" ht="43.5" x14ac:dyDescent="0.35">
      <c r="A2309">
        <v>16</v>
      </c>
      <c r="B2309">
        <v>63</v>
      </c>
      <c r="C2309" t="s">
        <v>2844</v>
      </c>
      <c r="D2309" s="64">
        <f>VLOOKUP(C2309,'CHAS - Cook Co'!$C$1:$J$2762,2,FALSE) - VLOOKUP(C2309,'CHAS - Chicago'!$C$1:$J$2762,2,FALSE)</f>
        <v>8040</v>
      </c>
      <c r="E2309" t="s">
        <v>373</v>
      </c>
      <c r="F2309" s="71" t="s">
        <v>367</v>
      </c>
      <c r="G2309" s="71" t="s">
        <v>397</v>
      </c>
      <c r="H2309" s="71" t="s">
        <v>2799</v>
      </c>
      <c r="I2309" s="71" t="s">
        <v>2778</v>
      </c>
    </row>
    <row r="2310" spans="1:9" ht="43.5" x14ac:dyDescent="0.35">
      <c r="A2310">
        <v>16</v>
      </c>
      <c r="B2310">
        <v>64</v>
      </c>
      <c r="C2310" t="s">
        <v>2845</v>
      </c>
      <c r="D2310" s="64">
        <f>VLOOKUP(C2310,'CHAS - Cook Co'!$C$1:$J$2762,2,FALSE) - VLOOKUP(C2310,'CHAS - Chicago'!$C$1:$J$2762,2,FALSE)</f>
        <v>6000</v>
      </c>
      <c r="E2310" t="s">
        <v>373</v>
      </c>
      <c r="F2310" s="71" t="s">
        <v>367</v>
      </c>
      <c r="G2310" s="71" t="s">
        <v>397</v>
      </c>
      <c r="H2310" s="71" t="s">
        <v>2799</v>
      </c>
      <c r="I2310" s="71" t="s">
        <v>2780</v>
      </c>
    </row>
    <row r="2311" spans="1:9" ht="43.5" x14ac:dyDescent="0.35">
      <c r="A2311">
        <v>16</v>
      </c>
      <c r="B2311">
        <v>65</v>
      </c>
      <c r="C2311" t="s">
        <v>2846</v>
      </c>
      <c r="D2311" s="64">
        <f>VLOOKUP(C2311,'CHAS - Cook Co'!$C$1:$J$2762,2,FALSE) - VLOOKUP(C2311,'CHAS - Chicago'!$C$1:$J$2762,2,FALSE)</f>
        <v>0</v>
      </c>
      <c r="E2311" t="s">
        <v>373</v>
      </c>
      <c r="F2311" s="71" t="s">
        <v>367</v>
      </c>
      <c r="G2311" s="71" t="s">
        <v>397</v>
      </c>
      <c r="H2311" s="71" t="s">
        <v>2799</v>
      </c>
      <c r="I2311" s="71" t="s">
        <v>2782</v>
      </c>
    </row>
    <row r="2312" spans="1:9" ht="29" x14ac:dyDescent="0.35">
      <c r="A2312">
        <v>16</v>
      </c>
      <c r="B2312">
        <v>66</v>
      </c>
      <c r="C2312" t="s">
        <v>2847</v>
      </c>
      <c r="D2312" s="64">
        <f>VLOOKUP(C2312,'CHAS - Cook Co'!$C$1:$J$2762,2,FALSE) - VLOOKUP(C2312,'CHAS - Chicago'!$C$1:$J$2762,2,FALSE)</f>
        <v>420815</v>
      </c>
      <c r="E2312" t="s">
        <v>366</v>
      </c>
      <c r="F2312" s="71" t="s">
        <v>367</v>
      </c>
      <c r="G2312" s="71" t="s">
        <v>2848</v>
      </c>
      <c r="H2312" s="71" t="s">
        <v>982</v>
      </c>
      <c r="I2312" s="71" t="s">
        <v>2772</v>
      </c>
    </row>
    <row r="2313" spans="1:9" ht="43.5" x14ac:dyDescent="0.35">
      <c r="A2313">
        <v>16</v>
      </c>
      <c r="B2313">
        <v>67</v>
      </c>
      <c r="C2313" t="s">
        <v>2849</v>
      </c>
      <c r="D2313" s="64">
        <f>VLOOKUP(C2313,'CHAS - Cook Co'!$C$1:$J$2762,2,FALSE) - VLOOKUP(C2313,'CHAS - Chicago'!$C$1:$J$2762,2,FALSE)</f>
        <v>71480</v>
      </c>
      <c r="E2313" t="s">
        <v>366</v>
      </c>
      <c r="F2313" s="71" t="s">
        <v>367</v>
      </c>
      <c r="G2313" s="71" t="s">
        <v>2848</v>
      </c>
      <c r="H2313" s="71" t="s">
        <v>2776</v>
      </c>
      <c r="I2313" s="71" t="s">
        <v>2772</v>
      </c>
    </row>
    <row r="2314" spans="1:9" ht="43.5" x14ac:dyDescent="0.35">
      <c r="A2314">
        <v>16</v>
      </c>
      <c r="B2314">
        <v>68</v>
      </c>
      <c r="C2314" t="s">
        <v>2850</v>
      </c>
      <c r="D2314" s="64">
        <f>VLOOKUP(C2314,'CHAS - Cook Co'!$C$1:$J$2762,2,FALSE) - VLOOKUP(C2314,'CHAS - Chicago'!$C$1:$J$2762,2,FALSE)</f>
        <v>8805</v>
      </c>
      <c r="E2314" t="s">
        <v>373</v>
      </c>
      <c r="F2314" s="71" t="s">
        <v>367</v>
      </c>
      <c r="G2314" s="71" t="s">
        <v>2848</v>
      </c>
      <c r="H2314" s="71" t="s">
        <v>2776</v>
      </c>
      <c r="I2314" s="71" t="s">
        <v>2778</v>
      </c>
    </row>
    <row r="2315" spans="1:9" ht="43.5" x14ac:dyDescent="0.35">
      <c r="A2315">
        <v>16</v>
      </c>
      <c r="B2315">
        <v>69</v>
      </c>
      <c r="C2315" t="s">
        <v>2851</v>
      </c>
      <c r="D2315" s="64">
        <f>VLOOKUP(C2315,'CHAS - Cook Co'!$C$1:$J$2762,2,FALSE) - VLOOKUP(C2315,'CHAS - Chicago'!$C$1:$J$2762,2,FALSE)</f>
        <v>62675</v>
      </c>
      <c r="E2315" t="s">
        <v>373</v>
      </c>
      <c r="F2315" s="71" t="s">
        <v>367</v>
      </c>
      <c r="G2315" s="71" t="s">
        <v>2848</v>
      </c>
      <c r="H2315" s="71" t="s">
        <v>2776</v>
      </c>
      <c r="I2315" s="71" t="s">
        <v>2780</v>
      </c>
    </row>
    <row r="2316" spans="1:9" ht="43.5" x14ac:dyDescent="0.35">
      <c r="A2316">
        <v>16</v>
      </c>
      <c r="B2316">
        <v>70</v>
      </c>
      <c r="C2316" t="s">
        <v>2852</v>
      </c>
      <c r="D2316" s="64">
        <f>VLOOKUP(C2316,'CHAS - Cook Co'!$C$1:$J$2762,2,FALSE) - VLOOKUP(C2316,'CHAS - Chicago'!$C$1:$J$2762,2,FALSE)</f>
        <v>0</v>
      </c>
      <c r="E2316" t="s">
        <v>373</v>
      </c>
      <c r="F2316" s="71" t="s">
        <v>367</v>
      </c>
      <c r="G2316" s="71" t="s">
        <v>2848</v>
      </c>
      <c r="H2316" s="71" t="s">
        <v>2776</v>
      </c>
      <c r="I2316" s="71" t="s">
        <v>2782</v>
      </c>
    </row>
    <row r="2317" spans="1:9" ht="43.5" x14ac:dyDescent="0.35">
      <c r="A2317">
        <v>16</v>
      </c>
      <c r="B2317">
        <v>71</v>
      </c>
      <c r="C2317" t="s">
        <v>2853</v>
      </c>
      <c r="D2317" s="64">
        <f>VLOOKUP(C2317,'CHAS - Cook Co'!$C$1:$J$2762,2,FALSE) - VLOOKUP(C2317,'CHAS - Chicago'!$C$1:$J$2762,2,FALSE)</f>
        <v>223005</v>
      </c>
      <c r="E2317" t="s">
        <v>366</v>
      </c>
      <c r="F2317" s="71" t="s">
        <v>367</v>
      </c>
      <c r="G2317" s="71" t="s">
        <v>2848</v>
      </c>
      <c r="H2317" s="71" t="s">
        <v>2784</v>
      </c>
      <c r="I2317" s="71" t="s">
        <v>2772</v>
      </c>
    </row>
    <row r="2318" spans="1:9" ht="43.5" x14ac:dyDescent="0.35">
      <c r="A2318">
        <v>16</v>
      </c>
      <c r="B2318">
        <v>72</v>
      </c>
      <c r="C2318" t="s">
        <v>2854</v>
      </c>
      <c r="D2318" s="64">
        <f>VLOOKUP(C2318,'CHAS - Cook Co'!$C$1:$J$2762,2,FALSE) - VLOOKUP(C2318,'CHAS - Chicago'!$C$1:$J$2762,2,FALSE)</f>
        <v>27670</v>
      </c>
      <c r="E2318" t="s">
        <v>373</v>
      </c>
      <c r="F2318" s="71" t="s">
        <v>367</v>
      </c>
      <c r="G2318" s="71" t="s">
        <v>2848</v>
      </c>
      <c r="H2318" s="71" t="s">
        <v>2784</v>
      </c>
      <c r="I2318" s="71" t="s">
        <v>2778</v>
      </c>
    </row>
    <row r="2319" spans="1:9" ht="43.5" x14ac:dyDescent="0.35">
      <c r="A2319">
        <v>16</v>
      </c>
      <c r="B2319">
        <v>73</v>
      </c>
      <c r="C2319" t="s">
        <v>2855</v>
      </c>
      <c r="D2319" s="64">
        <f>VLOOKUP(C2319,'CHAS - Cook Co'!$C$1:$J$2762,2,FALSE) - VLOOKUP(C2319,'CHAS - Chicago'!$C$1:$J$2762,2,FALSE)</f>
        <v>195340</v>
      </c>
      <c r="E2319" t="s">
        <v>373</v>
      </c>
      <c r="F2319" s="71" t="s">
        <v>367</v>
      </c>
      <c r="G2319" s="71" t="s">
        <v>2848</v>
      </c>
      <c r="H2319" s="71" t="s">
        <v>2784</v>
      </c>
      <c r="I2319" s="71" t="s">
        <v>2780</v>
      </c>
    </row>
    <row r="2320" spans="1:9" ht="43.5" x14ac:dyDescent="0.35">
      <c r="A2320">
        <v>16</v>
      </c>
      <c r="B2320">
        <v>74</v>
      </c>
      <c r="C2320" t="s">
        <v>2856</v>
      </c>
      <c r="D2320" s="64">
        <f>VLOOKUP(C2320,'CHAS - Cook Co'!$C$1:$J$2762,2,FALSE) - VLOOKUP(C2320,'CHAS - Chicago'!$C$1:$J$2762,2,FALSE)</f>
        <v>0</v>
      </c>
      <c r="E2320" t="s">
        <v>373</v>
      </c>
      <c r="F2320" s="71" t="s">
        <v>367</v>
      </c>
      <c r="G2320" s="71" t="s">
        <v>2848</v>
      </c>
      <c r="H2320" s="71" t="s">
        <v>2784</v>
      </c>
      <c r="I2320" s="71" t="s">
        <v>2782</v>
      </c>
    </row>
    <row r="2321" spans="1:9" ht="29" x14ac:dyDescent="0.35">
      <c r="A2321">
        <v>16</v>
      </c>
      <c r="B2321">
        <v>75</v>
      </c>
      <c r="C2321" t="s">
        <v>2857</v>
      </c>
      <c r="D2321" s="64">
        <f>VLOOKUP(C2321,'CHAS - Cook Co'!$C$1:$J$2762,2,FALSE) - VLOOKUP(C2321,'CHAS - Chicago'!$C$1:$J$2762,2,FALSE)</f>
        <v>48985</v>
      </c>
      <c r="E2321" t="s">
        <v>366</v>
      </c>
      <c r="F2321" s="71" t="s">
        <v>367</v>
      </c>
      <c r="G2321" s="71" t="s">
        <v>2848</v>
      </c>
      <c r="H2321" s="71" t="s">
        <v>2789</v>
      </c>
      <c r="I2321" s="71" t="s">
        <v>2772</v>
      </c>
    </row>
    <row r="2322" spans="1:9" ht="29" x14ac:dyDescent="0.35">
      <c r="A2322">
        <v>16</v>
      </c>
      <c r="B2322">
        <v>76</v>
      </c>
      <c r="C2322" t="s">
        <v>2858</v>
      </c>
      <c r="D2322" s="64">
        <f>VLOOKUP(C2322,'CHAS - Cook Co'!$C$1:$J$2762,2,FALSE) - VLOOKUP(C2322,'CHAS - Chicago'!$C$1:$J$2762,2,FALSE)</f>
        <v>10310</v>
      </c>
      <c r="E2322" t="s">
        <v>373</v>
      </c>
      <c r="F2322" s="71" t="s">
        <v>367</v>
      </c>
      <c r="G2322" s="71" t="s">
        <v>2848</v>
      </c>
      <c r="H2322" s="71" t="s">
        <v>2789</v>
      </c>
      <c r="I2322" s="71" t="s">
        <v>2778</v>
      </c>
    </row>
    <row r="2323" spans="1:9" ht="29" x14ac:dyDescent="0.35">
      <c r="A2323">
        <v>16</v>
      </c>
      <c r="B2323">
        <v>77</v>
      </c>
      <c r="C2323" t="s">
        <v>2859</v>
      </c>
      <c r="D2323" s="64">
        <f>VLOOKUP(C2323,'CHAS - Cook Co'!$C$1:$J$2762,2,FALSE) - VLOOKUP(C2323,'CHAS - Chicago'!$C$1:$J$2762,2,FALSE)</f>
        <v>38675</v>
      </c>
      <c r="E2323" t="s">
        <v>373</v>
      </c>
      <c r="F2323" s="71" t="s">
        <v>367</v>
      </c>
      <c r="G2323" s="71" t="s">
        <v>2848</v>
      </c>
      <c r="H2323" s="71" t="s">
        <v>2789</v>
      </c>
      <c r="I2323" s="71" t="s">
        <v>2780</v>
      </c>
    </row>
    <row r="2324" spans="1:9" ht="43.5" x14ac:dyDescent="0.35">
      <c r="A2324">
        <v>16</v>
      </c>
      <c r="B2324">
        <v>78</v>
      </c>
      <c r="C2324" t="s">
        <v>2860</v>
      </c>
      <c r="D2324" s="64">
        <f>VLOOKUP(C2324,'CHAS - Cook Co'!$C$1:$J$2762,2,FALSE) - VLOOKUP(C2324,'CHAS - Chicago'!$C$1:$J$2762,2,FALSE)</f>
        <v>0</v>
      </c>
      <c r="E2324" t="s">
        <v>373</v>
      </c>
      <c r="F2324" s="71" t="s">
        <v>367</v>
      </c>
      <c r="G2324" s="71" t="s">
        <v>2848</v>
      </c>
      <c r="H2324" s="71" t="s">
        <v>2789</v>
      </c>
      <c r="I2324" s="71" t="s">
        <v>2782</v>
      </c>
    </row>
    <row r="2325" spans="1:9" ht="58" x14ac:dyDescent="0.35">
      <c r="A2325">
        <v>16</v>
      </c>
      <c r="B2325">
        <v>79</v>
      </c>
      <c r="C2325" t="s">
        <v>2861</v>
      </c>
      <c r="D2325" s="64">
        <f>VLOOKUP(C2325,'CHAS - Cook Co'!$C$1:$J$2762,2,FALSE) - VLOOKUP(C2325,'CHAS - Chicago'!$C$1:$J$2762,2,FALSE)</f>
        <v>29440</v>
      </c>
      <c r="E2325" t="s">
        <v>366</v>
      </c>
      <c r="F2325" s="71" t="s">
        <v>367</v>
      </c>
      <c r="G2325" s="71" t="s">
        <v>2848</v>
      </c>
      <c r="H2325" s="71" t="s">
        <v>2794</v>
      </c>
      <c r="I2325" s="71" t="s">
        <v>2772</v>
      </c>
    </row>
    <row r="2326" spans="1:9" ht="58" x14ac:dyDescent="0.35">
      <c r="A2326">
        <v>16</v>
      </c>
      <c r="B2326">
        <v>80</v>
      </c>
      <c r="C2326" t="s">
        <v>2862</v>
      </c>
      <c r="D2326" s="64">
        <f>VLOOKUP(C2326,'CHAS - Cook Co'!$C$1:$J$2762,2,FALSE) - VLOOKUP(C2326,'CHAS - Chicago'!$C$1:$J$2762,2,FALSE)</f>
        <v>4145</v>
      </c>
      <c r="E2326" t="s">
        <v>373</v>
      </c>
      <c r="F2326" s="71" t="s">
        <v>367</v>
      </c>
      <c r="G2326" s="71" t="s">
        <v>2848</v>
      </c>
      <c r="H2326" s="71" t="s">
        <v>2794</v>
      </c>
      <c r="I2326" s="71" t="s">
        <v>2778</v>
      </c>
    </row>
    <row r="2327" spans="1:9" ht="58" x14ac:dyDescent="0.35">
      <c r="A2327">
        <v>16</v>
      </c>
      <c r="B2327">
        <v>81</v>
      </c>
      <c r="C2327" t="s">
        <v>2863</v>
      </c>
      <c r="D2327" s="64">
        <f>VLOOKUP(C2327,'CHAS - Cook Co'!$C$1:$J$2762,2,FALSE) - VLOOKUP(C2327,'CHAS - Chicago'!$C$1:$J$2762,2,FALSE)</f>
        <v>25300</v>
      </c>
      <c r="E2327" t="s">
        <v>373</v>
      </c>
      <c r="F2327" s="71" t="s">
        <v>367</v>
      </c>
      <c r="G2327" s="71" t="s">
        <v>2848</v>
      </c>
      <c r="H2327" s="71" t="s">
        <v>2794</v>
      </c>
      <c r="I2327" s="71" t="s">
        <v>2780</v>
      </c>
    </row>
    <row r="2328" spans="1:9" ht="58" x14ac:dyDescent="0.35">
      <c r="A2328">
        <v>16</v>
      </c>
      <c r="B2328">
        <v>82</v>
      </c>
      <c r="C2328" t="s">
        <v>2864</v>
      </c>
      <c r="D2328" s="64">
        <f>VLOOKUP(C2328,'CHAS - Cook Co'!$C$1:$J$2762,2,FALSE) - VLOOKUP(C2328,'CHAS - Chicago'!$C$1:$J$2762,2,FALSE)</f>
        <v>0</v>
      </c>
      <c r="E2328" t="s">
        <v>373</v>
      </c>
      <c r="F2328" s="71" t="s">
        <v>367</v>
      </c>
      <c r="G2328" s="71" t="s">
        <v>2848</v>
      </c>
      <c r="H2328" s="71" t="s">
        <v>2794</v>
      </c>
      <c r="I2328" s="71" t="s">
        <v>2782</v>
      </c>
    </row>
    <row r="2329" spans="1:9" ht="29" x14ac:dyDescent="0.35">
      <c r="A2329">
        <v>16</v>
      </c>
      <c r="B2329">
        <v>83</v>
      </c>
      <c r="C2329" t="s">
        <v>2865</v>
      </c>
      <c r="D2329" s="64">
        <f>VLOOKUP(C2329,'CHAS - Cook Co'!$C$1:$J$2762,2,FALSE) - VLOOKUP(C2329,'CHAS - Chicago'!$C$1:$J$2762,2,FALSE)</f>
        <v>47900</v>
      </c>
      <c r="E2329" t="s">
        <v>366</v>
      </c>
      <c r="F2329" s="71" t="s">
        <v>367</v>
      </c>
      <c r="G2329" s="71" t="s">
        <v>2848</v>
      </c>
      <c r="H2329" s="71" t="s">
        <v>2799</v>
      </c>
      <c r="I2329" s="71" t="s">
        <v>2772</v>
      </c>
    </row>
    <row r="2330" spans="1:9" ht="29" x14ac:dyDescent="0.35">
      <c r="A2330">
        <v>16</v>
      </c>
      <c r="B2330">
        <v>84</v>
      </c>
      <c r="C2330" t="s">
        <v>2866</v>
      </c>
      <c r="D2330" s="64">
        <f>VLOOKUP(C2330,'CHAS - Cook Co'!$C$1:$J$2762,2,FALSE) - VLOOKUP(C2330,'CHAS - Chicago'!$C$1:$J$2762,2,FALSE)</f>
        <v>8775</v>
      </c>
      <c r="E2330" t="s">
        <v>373</v>
      </c>
      <c r="F2330" s="71" t="s">
        <v>367</v>
      </c>
      <c r="G2330" s="71" t="s">
        <v>2848</v>
      </c>
      <c r="H2330" s="71" t="s">
        <v>2799</v>
      </c>
      <c r="I2330" s="71" t="s">
        <v>2778</v>
      </c>
    </row>
    <row r="2331" spans="1:9" ht="29" x14ac:dyDescent="0.35">
      <c r="A2331">
        <v>16</v>
      </c>
      <c r="B2331">
        <v>85</v>
      </c>
      <c r="C2331" t="s">
        <v>2867</v>
      </c>
      <c r="D2331" s="64">
        <f>VLOOKUP(C2331,'CHAS - Cook Co'!$C$1:$J$2762,2,FALSE) - VLOOKUP(C2331,'CHAS - Chicago'!$C$1:$J$2762,2,FALSE)</f>
        <v>39130</v>
      </c>
      <c r="E2331" t="s">
        <v>373</v>
      </c>
      <c r="F2331" s="71" t="s">
        <v>367</v>
      </c>
      <c r="G2331" s="71" t="s">
        <v>2848</v>
      </c>
      <c r="H2331" s="71" t="s">
        <v>2799</v>
      </c>
      <c r="I2331" s="71" t="s">
        <v>2780</v>
      </c>
    </row>
    <row r="2332" spans="1:9" ht="43.5" x14ac:dyDescent="0.35">
      <c r="A2332">
        <v>16</v>
      </c>
      <c r="B2332">
        <v>86</v>
      </c>
      <c r="C2332" t="s">
        <v>2868</v>
      </c>
      <c r="D2332" s="64">
        <f>VLOOKUP(C2332,'CHAS - Cook Co'!$C$1:$J$2762,2,FALSE) - VLOOKUP(C2332,'CHAS - Chicago'!$C$1:$J$2762,2,FALSE)</f>
        <v>0</v>
      </c>
      <c r="E2332" t="s">
        <v>373</v>
      </c>
      <c r="F2332" s="71" t="s">
        <v>367</v>
      </c>
      <c r="G2332" s="71" t="s">
        <v>2848</v>
      </c>
      <c r="H2332" s="71" t="s">
        <v>2799</v>
      </c>
      <c r="I2332" s="71" t="s">
        <v>2782</v>
      </c>
    </row>
    <row r="2333" spans="1:9" x14ac:dyDescent="0.35">
      <c r="A2333">
        <v>16</v>
      </c>
      <c r="B2333">
        <v>87</v>
      </c>
      <c r="C2333" t="s">
        <v>2869</v>
      </c>
      <c r="D2333" s="64">
        <f>VLOOKUP(C2333,'CHAS - Cook Co'!$C$1:$J$2762,2,FALSE) - VLOOKUP(C2333,'CHAS - Chicago'!$C$1:$J$2762,2,FALSE)</f>
        <v>263750</v>
      </c>
      <c r="E2333" t="s">
        <v>366</v>
      </c>
      <c r="F2333" s="71" t="s">
        <v>508</v>
      </c>
      <c r="G2333" s="71" t="s">
        <v>363</v>
      </c>
      <c r="H2333" s="71" t="s">
        <v>982</v>
      </c>
      <c r="I2333" s="71" t="s">
        <v>2772</v>
      </c>
    </row>
    <row r="2334" spans="1:9" ht="29" x14ac:dyDescent="0.35">
      <c r="A2334">
        <v>16</v>
      </c>
      <c r="B2334">
        <v>88</v>
      </c>
      <c r="C2334" t="s">
        <v>2870</v>
      </c>
      <c r="D2334" s="64">
        <f>VLOOKUP(C2334,'CHAS - Cook Co'!$C$1:$J$2762,2,FALSE) - VLOOKUP(C2334,'CHAS - Chicago'!$C$1:$J$2762,2,FALSE)</f>
        <v>71775</v>
      </c>
      <c r="E2334" t="s">
        <v>366</v>
      </c>
      <c r="F2334" s="71" t="s">
        <v>508</v>
      </c>
      <c r="G2334" s="71" t="s">
        <v>371</v>
      </c>
      <c r="H2334" s="71" t="s">
        <v>982</v>
      </c>
      <c r="I2334" s="71" t="s">
        <v>2772</v>
      </c>
    </row>
    <row r="2335" spans="1:9" ht="43.5" x14ac:dyDescent="0.35">
      <c r="A2335">
        <v>16</v>
      </c>
      <c r="B2335">
        <v>89</v>
      </c>
      <c r="C2335" t="s">
        <v>2871</v>
      </c>
      <c r="D2335" s="64">
        <f>VLOOKUP(C2335,'CHAS - Cook Co'!$C$1:$J$2762,2,FALSE) - VLOOKUP(C2335,'CHAS - Chicago'!$C$1:$J$2762,2,FALSE)</f>
        <v>3080</v>
      </c>
      <c r="E2335" t="s">
        <v>366</v>
      </c>
      <c r="F2335" s="71" t="s">
        <v>508</v>
      </c>
      <c r="G2335" s="71" t="s">
        <v>371</v>
      </c>
      <c r="H2335" s="71" t="s">
        <v>2776</v>
      </c>
      <c r="I2335" s="71" t="s">
        <v>2772</v>
      </c>
    </row>
    <row r="2336" spans="1:9" ht="43.5" x14ac:dyDescent="0.35">
      <c r="A2336">
        <v>16</v>
      </c>
      <c r="B2336">
        <v>90</v>
      </c>
      <c r="C2336" t="s">
        <v>2872</v>
      </c>
      <c r="D2336" s="64">
        <f>VLOOKUP(C2336,'CHAS - Cook Co'!$C$1:$J$2762,2,FALSE) - VLOOKUP(C2336,'CHAS - Chicago'!$C$1:$J$2762,2,FALSE)</f>
        <v>2390</v>
      </c>
      <c r="E2336" t="s">
        <v>373</v>
      </c>
      <c r="F2336" s="71" t="s">
        <v>508</v>
      </c>
      <c r="G2336" s="71" t="s">
        <v>371</v>
      </c>
      <c r="H2336" s="71" t="s">
        <v>2776</v>
      </c>
      <c r="I2336" s="71" t="s">
        <v>2778</v>
      </c>
    </row>
    <row r="2337" spans="1:9" ht="43.5" x14ac:dyDescent="0.35">
      <c r="A2337">
        <v>16</v>
      </c>
      <c r="B2337">
        <v>91</v>
      </c>
      <c r="C2337" t="s">
        <v>2873</v>
      </c>
      <c r="D2337" s="64">
        <f>VLOOKUP(C2337,'CHAS - Cook Co'!$C$1:$J$2762,2,FALSE) - VLOOKUP(C2337,'CHAS - Chicago'!$C$1:$J$2762,2,FALSE)</f>
        <v>505</v>
      </c>
      <c r="E2337" t="s">
        <v>373</v>
      </c>
      <c r="F2337" s="71" t="s">
        <v>508</v>
      </c>
      <c r="G2337" s="71" t="s">
        <v>371</v>
      </c>
      <c r="H2337" s="71" t="s">
        <v>2776</v>
      </c>
      <c r="I2337" s="71" t="s">
        <v>2780</v>
      </c>
    </row>
    <row r="2338" spans="1:9" ht="43.5" x14ac:dyDescent="0.35">
      <c r="A2338">
        <v>16</v>
      </c>
      <c r="B2338">
        <v>92</v>
      </c>
      <c r="C2338" t="s">
        <v>2874</v>
      </c>
      <c r="D2338" s="64">
        <f>VLOOKUP(C2338,'CHAS - Cook Co'!$C$1:$J$2762,2,FALSE) - VLOOKUP(C2338,'CHAS - Chicago'!$C$1:$J$2762,2,FALSE)</f>
        <v>190</v>
      </c>
      <c r="E2338" t="s">
        <v>373</v>
      </c>
      <c r="F2338" s="71" t="s">
        <v>508</v>
      </c>
      <c r="G2338" s="71" t="s">
        <v>371</v>
      </c>
      <c r="H2338" s="71" t="s">
        <v>2776</v>
      </c>
      <c r="I2338" s="71" t="s">
        <v>2782</v>
      </c>
    </row>
    <row r="2339" spans="1:9" ht="43.5" x14ac:dyDescent="0.35">
      <c r="A2339">
        <v>16</v>
      </c>
      <c r="B2339">
        <v>93</v>
      </c>
      <c r="C2339" t="s">
        <v>2875</v>
      </c>
      <c r="D2339" s="64">
        <f>VLOOKUP(C2339,'CHAS - Cook Co'!$C$1:$J$2762,2,FALSE) - VLOOKUP(C2339,'CHAS - Chicago'!$C$1:$J$2762,2,FALSE)</f>
        <v>23765</v>
      </c>
      <c r="E2339" t="s">
        <v>366</v>
      </c>
      <c r="F2339" s="71" t="s">
        <v>508</v>
      </c>
      <c r="G2339" s="71" t="s">
        <v>371</v>
      </c>
      <c r="H2339" s="71" t="s">
        <v>2784</v>
      </c>
      <c r="I2339" s="71" t="s">
        <v>2772</v>
      </c>
    </row>
    <row r="2340" spans="1:9" ht="43.5" x14ac:dyDescent="0.35">
      <c r="A2340">
        <v>16</v>
      </c>
      <c r="B2340">
        <v>94</v>
      </c>
      <c r="C2340" t="s">
        <v>2876</v>
      </c>
      <c r="D2340" s="64">
        <f>VLOOKUP(C2340,'CHAS - Cook Co'!$C$1:$J$2762,2,FALSE) - VLOOKUP(C2340,'CHAS - Chicago'!$C$1:$J$2762,2,FALSE)</f>
        <v>20350</v>
      </c>
      <c r="E2340" t="s">
        <v>373</v>
      </c>
      <c r="F2340" s="71" t="s">
        <v>508</v>
      </c>
      <c r="G2340" s="71" t="s">
        <v>371</v>
      </c>
      <c r="H2340" s="71" t="s">
        <v>2784</v>
      </c>
      <c r="I2340" s="71" t="s">
        <v>2778</v>
      </c>
    </row>
    <row r="2341" spans="1:9" ht="43.5" x14ac:dyDescent="0.35">
      <c r="A2341">
        <v>16</v>
      </c>
      <c r="B2341">
        <v>95</v>
      </c>
      <c r="C2341" t="s">
        <v>2877</v>
      </c>
      <c r="D2341" s="64">
        <f>VLOOKUP(C2341,'CHAS - Cook Co'!$C$1:$J$2762,2,FALSE) - VLOOKUP(C2341,'CHAS - Chicago'!$C$1:$J$2762,2,FALSE)</f>
        <v>1075</v>
      </c>
      <c r="E2341" t="s">
        <v>373</v>
      </c>
      <c r="F2341" s="71" t="s">
        <v>508</v>
      </c>
      <c r="G2341" s="71" t="s">
        <v>371</v>
      </c>
      <c r="H2341" s="71" t="s">
        <v>2784</v>
      </c>
      <c r="I2341" s="71" t="s">
        <v>2780</v>
      </c>
    </row>
    <row r="2342" spans="1:9" ht="43.5" x14ac:dyDescent="0.35">
      <c r="A2342">
        <v>16</v>
      </c>
      <c r="B2342">
        <v>96</v>
      </c>
      <c r="C2342" t="s">
        <v>2878</v>
      </c>
      <c r="D2342" s="64">
        <f>VLOOKUP(C2342,'CHAS - Cook Co'!$C$1:$J$2762,2,FALSE) - VLOOKUP(C2342,'CHAS - Chicago'!$C$1:$J$2762,2,FALSE)</f>
        <v>2340</v>
      </c>
      <c r="E2342" t="s">
        <v>373</v>
      </c>
      <c r="F2342" s="71" t="s">
        <v>508</v>
      </c>
      <c r="G2342" s="71" t="s">
        <v>371</v>
      </c>
      <c r="H2342" s="71" t="s">
        <v>2784</v>
      </c>
      <c r="I2342" s="71" t="s">
        <v>2782</v>
      </c>
    </row>
    <row r="2343" spans="1:9" ht="29" x14ac:dyDescent="0.35">
      <c r="A2343">
        <v>16</v>
      </c>
      <c r="B2343">
        <v>97</v>
      </c>
      <c r="C2343" t="s">
        <v>2879</v>
      </c>
      <c r="D2343" s="64">
        <f>VLOOKUP(C2343,'CHAS - Cook Co'!$C$1:$J$2762,2,FALSE) - VLOOKUP(C2343,'CHAS - Chicago'!$C$1:$J$2762,2,FALSE)</f>
        <v>7020</v>
      </c>
      <c r="E2343" t="s">
        <v>366</v>
      </c>
      <c r="F2343" s="71" t="s">
        <v>508</v>
      </c>
      <c r="G2343" s="71" t="s">
        <v>371</v>
      </c>
      <c r="H2343" s="71" t="s">
        <v>2789</v>
      </c>
      <c r="I2343" s="71" t="s">
        <v>2772</v>
      </c>
    </row>
    <row r="2344" spans="1:9" ht="29" x14ac:dyDescent="0.35">
      <c r="A2344">
        <v>16</v>
      </c>
      <c r="B2344">
        <v>98</v>
      </c>
      <c r="C2344" t="s">
        <v>2880</v>
      </c>
      <c r="D2344" s="64">
        <f>VLOOKUP(C2344,'CHAS - Cook Co'!$C$1:$J$2762,2,FALSE) - VLOOKUP(C2344,'CHAS - Chicago'!$C$1:$J$2762,2,FALSE)</f>
        <v>6490</v>
      </c>
      <c r="E2344" t="s">
        <v>373</v>
      </c>
      <c r="F2344" s="71" t="s">
        <v>508</v>
      </c>
      <c r="G2344" s="71" t="s">
        <v>371</v>
      </c>
      <c r="H2344" s="71" t="s">
        <v>2789</v>
      </c>
      <c r="I2344" s="71" t="s">
        <v>2778</v>
      </c>
    </row>
    <row r="2345" spans="1:9" ht="29" x14ac:dyDescent="0.35">
      <c r="A2345">
        <v>16</v>
      </c>
      <c r="B2345">
        <v>99</v>
      </c>
      <c r="C2345" t="s">
        <v>2881</v>
      </c>
      <c r="D2345" s="64">
        <f>VLOOKUP(C2345,'CHAS - Cook Co'!$C$1:$J$2762,2,FALSE) - VLOOKUP(C2345,'CHAS - Chicago'!$C$1:$J$2762,2,FALSE)</f>
        <v>290</v>
      </c>
      <c r="E2345" t="s">
        <v>373</v>
      </c>
      <c r="F2345" s="71" t="s">
        <v>508</v>
      </c>
      <c r="G2345" s="71" t="s">
        <v>371</v>
      </c>
      <c r="H2345" s="71" t="s">
        <v>2789</v>
      </c>
      <c r="I2345" s="71" t="s">
        <v>2780</v>
      </c>
    </row>
    <row r="2346" spans="1:9" ht="43.5" x14ac:dyDescent="0.35">
      <c r="A2346">
        <v>16</v>
      </c>
      <c r="B2346">
        <v>100</v>
      </c>
      <c r="C2346" t="s">
        <v>2882</v>
      </c>
      <c r="D2346" s="64">
        <f>VLOOKUP(C2346,'CHAS - Cook Co'!$C$1:$J$2762,2,FALSE) - VLOOKUP(C2346,'CHAS - Chicago'!$C$1:$J$2762,2,FALSE)</f>
        <v>240</v>
      </c>
      <c r="E2346" t="s">
        <v>373</v>
      </c>
      <c r="F2346" s="71" t="s">
        <v>508</v>
      </c>
      <c r="G2346" s="71" t="s">
        <v>371</v>
      </c>
      <c r="H2346" s="71" t="s">
        <v>2789</v>
      </c>
      <c r="I2346" s="71" t="s">
        <v>2782</v>
      </c>
    </row>
    <row r="2347" spans="1:9" ht="58" x14ac:dyDescent="0.35">
      <c r="A2347">
        <v>16</v>
      </c>
      <c r="B2347">
        <v>101</v>
      </c>
      <c r="C2347" t="s">
        <v>2883</v>
      </c>
      <c r="D2347" s="64">
        <f>VLOOKUP(C2347,'CHAS - Cook Co'!$C$1:$J$2762,2,FALSE) - VLOOKUP(C2347,'CHAS - Chicago'!$C$1:$J$2762,2,FALSE)</f>
        <v>15845</v>
      </c>
      <c r="E2347" t="s">
        <v>366</v>
      </c>
      <c r="F2347" s="71" t="s">
        <v>508</v>
      </c>
      <c r="G2347" s="71" t="s">
        <v>371</v>
      </c>
      <c r="H2347" s="71" t="s">
        <v>2794</v>
      </c>
      <c r="I2347" s="71" t="s">
        <v>2772</v>
      </c>
    </row>
    <row r="2348" spans="1:9" ht="58" x14ac:dyDescent="0.35">
      <c r="A2348">
        <v>16</v>
      </c>
      <c r="B2348">
        <v>102</v>
      </c>
      <c r="C2348" t="s">
        <v>2884</v>
      </c>
      <c r="D2348" s="64">
        <f>VLOOKUP(C2348,'CHAS - Cook Co'!$C$1:$J$2762,2,FALSE) - VLOOKUP(C2348,'CHAS - Chicago'!$C$1:$J$2762,2,FALSE)</f>
        <v>11675</v>
      </c>
      <c r="E2348" t="s">
        <v>373</v>
      </c>
      <c r="F2348" s="71" t="s">
        <v>508</v>
      </c>
      <c r="G2348" s="71" t="s">
        <v>371</v>
      </c>
      <c r="H2348" s="71" t="s">
        <v>2794</v>
      </c>
      <c r="I2348" s="71" t="s">
        <v>2778</v>
      </c>
    </row>
    <row r="2349" spans="1:9" ht="58" x14ac:dyDescent="0.35">
      <c r="A2349">
        <v>16</v>
      </c>
      <c r="B2349">
        <v>103</v>
      </c>
      <c r="C2349" t="s">
        <v>2885</v>
      </c>
      <c r="D2349" s="64">
        <f>VLOOKUP(C2349,'CHAS - Cook Co'!$C$1:$J$2762,2,FALSE) - VLOOKUP(C2349,'CHAS - Chicago'!$C$1:$J$2762,2,FALSE)</f>
        <v>3295</v>
      </c>
      <c r="E2349" t="s">
        <v>373</v>
      </c>
      <c r="F2349" s="71" t="s">
        <v>508</v>
      </c>
      <c r="G2349" s="71" t="s">
        <v>371</v>
      </c>
      <c r="H2349" s="71" t="s">
        <v>2794</v>
      </c>
      <c r="I2349" s="71" t="s">
        <v>2780</v>
      </c>
    </row>
    <row r="2350" spans="1:9" ht="58" x14ac:dyDescent="0.35">
      <c r="A2350">
        <v>16</v>
      </c>
      <c r="B2350">
        <v>104</v>
      </c>
      <c r="C2350" t="s">
        <v>2886</v>
      </c>
      <c r="D2350" s="64">
        <f>VLOOKUP(C2350,'CHAS - Cook Co'!$C$1:$J$2762,2,FALSE) - VLOOKUP(C2350,'CHAS - Chicago'!$C$1:$J$2762,2,FALSE)</f>
        <v>875</v>
      </c>
      <c r="E2350" t="s">
        <v>373</v>
      </c>
      <c r="F2350" s="71" t="s">
        <v>508</v>
      </c>
      <c r="G2350" s="71" t="s">
        <v>371</v>
      </c>
      <c r="H2350" s="71" t="s">
        <v>2794</v>
      </c>
      <c r="I2350" s="71" t="s">
        <v>2782</v>
      </c>
    </row>
    <row r="2351" spans="1:9" ht="29" x14ac:dyDescent="0.35">
      <c r="A2351">
        <v>16</v>
      </c>
      <c r="B2351">
        <v>105</v>
      </c>
      <c r="C2351" t="s">
        <v>2887</v>
      </c>
      <c r="D2351" s="64">
        <f>VLOOKUP(C2351,'CHAS - Cook Co'!$C$1:$J$2762,2,FALSE) - VLOOKUP(C2351,'CHAS - Chicago'!$C$1:$J$2762,2,FALSE)</f>
        <v>22060</v>
      </c>
      <c r="E2351" t="s">
        <v>366</v>
      </c>
      <c r="F2351" s="71" t="s">
        <v>508</v>
      </c>
      <c r="G2351" s="71" t="s">
        <v>371</v>
      </c>
      <c r="H2351" s="71" t="s">
        <v>2799</v>
      </c>
      <c r="I2351" s="71" t="s">
        <v>2772</v>
      </c>
    </row>
    <row r="2352" spans="1:9" ht="29" x14ac:dyDescent="0.35">
      <c r="A2352">
        <v>16</v>
      </c>
      <c r="B2352">
        <v>106</v>
      </c>
      <c r="C2352" t="s">
        <v>2888</v>
      </c>
      <c r="D2352" s="64">
        <f>VLOOKUP(C2352,'CHAS - Cook Co'!$C$1:$J$2762,2,FALSE) - VLOOKUP(C2352,'CHAS - Chicago'!$C$1:$J$2762,2,FALSE)</f>
        <v>15490</v>
      </c>
      <c r="E2352" t="s">
        <v>373</v>
      </c>
      <c r="F2352" s="71" t="s">
        <v>508</v>
      </c>
      <c r="G2352" s="71" t="s">
        <v>371</v>
      </c>
      <c r="H2352" s="71" t="s">
        <v>2799</v>
      </c>
      <c r="I2352" s="71" t="s">
        <v>2778</v>
      </c>
    </row>
    <row r="2353" spans="1:9" ht="29" x14ac:dyDescent="0.35">
      <c r="A2353">
        <v>16</v>
      </c>
      <c r="B2353">
        <v>107</v>
      </c>
      <c r="C2353" t="s">
        <v>2889</v>
      </c>
      <c r="D2353" s="64">
        <f>VLOOKUP(C2353,'CHAS - Cook Co'!$C$1:$J$2762,2,FALSE) - VLOOKUP(C2353,'CHAS - Chicago'!$C$1:$J$2762,2,FALSE)</f>
        <v>1650</v>
      </c>
      <c r="E2353" t="s">
        <v>373</v>
      </c>
      <c r="F2353" s="71" t="s">
        <v>508</v>
      </c>
      <c r="G2353" s="71" t="s">
        <v>371</v>
      </c>
      <c r="H2353" s="71" t="s">
        <v>2799</v>
      </c>
      <c r="I2353" s="71" t="s">
        <v>2780</v>
      </c>
    </row>
    <row r="2354" spans="1:9" ht="43.5" x14ac:dyDescent="0.35">
      <c r="A2354">
        <v>16</v>
      </c>
      <c r="B2354">
        <v>108</v>
      </c>
      <c r="C2354" t="s">
        <v>2890</v>
      </c>
      <c r="D2354" s="64">
        <f>VLOOKUP(C2354,'CHAS - Cook Co'!$C$1:$J$2762,2,FALSE) - VLOOKUP(C2354,'CHAS - Chicago'!$C$1:$J$2762,2,FALSE)</f>
        <v>4925</v>
      </c>
      <c r="E2354" t="s">
        <v>373</v>
      </c>
      <c r="F2354" s="71" t="s">
        <v>508</v>
      </c>
      <c r="G2354" s="71" t="s">
        <v>371</v>
      </c>
      <c r="H2354" s="71" t="s">
        <v>2799</v>
      </c>
      <c r="I2354" s="71" t="s">
        <v>2782</v>
      </c>
    </row>
    <row r="2355" spans="1:9" ht="43.5" x14ac:dyDescent="0.35">
      <c r="A2355">
        <v>16</v>
      </c>
      <c r="B2355">
        <v>109</v>
      </c>
      <c r="C2355" t="s">
        <v>2891</v>
      </c>
      <c r="D2355" s="64">
        <f>VLOOKUP(C2355,'CHAS - Cook Co'!$C$1:$J$2762,2,FALSE) - VLOOKUP(C2355,'CHAS - Chicago'!$C$1:$J$2762,2,FALSE)</f>
        <v>48490</v>
      </c>
      <c r="E2355" t="s">
        <v>366</v>
      </c>
      <c r="F2355" s="71" t="s">
        <v>508</v>
      </c>
      <c r="G2355" s="71" t="s">
        <v>388</v>
      </c>
      <c r="H2355" s="71" t="s">
        <v>982</v>
      </c>
      <c r="I2355" s="71" t="s">
        <v>2772</v>
      </c>
    </row>
    <row r="2356" spans="1:9" ht="43.5" x14ac:dyDescent="0.35">
      <c r="A2356">
        <v>16</v>
      </c>
      <c r="B2356">
        <v>110</v>
      </c>
      <c r="C2356" t="s">
        <v>2892</v>
      </c>
      <c r="D2356" s="64">
        <f>VLOOKUP(C2356,'CHAS - Cook Co'!$C$1:$J$2762,2,FALSE) - VLOOKUP(C2356,'CHAS - Chicago'!$C$1:$J$2762,2,FALSE)</f>
        <v>2660</v>
      </c>
      <c r="E2356" t="s">
        <v>366</v>
      </c>
      <c r="F2356" s="71" t="s">
        <v>508</v>
      </c>
      <c r="G2356" s="71" t="s">
        <v>2805</v>
      </c>
      <c r="H2356" s="71" t="s">
        <v>2776</v>
      </c>
      <c r="I2356" s="71" t="s">
        <v>2772</v>
      </c>
    </row>
    <row r="2357" spans="1:9" ht="43.5" x14ac:dyDescent="0.35">
      <c r="A2357">
        <v>16</v>
      </c>
      <c r="B2357">
        <v>111</v>
      </c>
      <c r="C2357" t="s">
        <v>2893</v>
      </c>
      <c r="D2357" s="64">
        <f>VLOOKUP(C2357,'CHAS - Cook Co'!$C$1:$J$2762,2,FALSE) - VLOOKUP(C2357,'CHAS - Chicago'!$C$1:$J$2762,2,FALSE)</f>
        <v>2170</v>
      </c>
      <c r="E2357" t="s">
        <v>373</v>
      </c>
      <c r="F2357" s="71" t="s">
        <v>508</v>
      </c>
      <c r="G2357" s="71" t="s">
        <v>2805</v>
      </c>
      <c r="H2357" s="71" t="s">
        <v>2776</v>
      </c>
      <c r="I2357" s="71" t="s">
        <v>2778</v>
      </c>
    </row>
    <row r="2358" spans="1:9" ht="43.5" x14ac:dyDescent="0.35">
      <c r="A2358">
        <v>16</v>
      </c>
      <c r="B2358">
        <v>112</v>
      </c>
      <c r="C2358" t="s">
        <v>2894</v>
      </c>
      <c r="D2358" s="64">
        <f>VLOOKUP(C2358,'CHAS - Cook Co'!$C$1:$J$2762,2,FALSE) - VLOOKUP(C2358,'CHAS - Chicago'!$C$1:$J$2762,2,FALSE)</f>
        <v>485</v>
      </c>
      <c r="E2358" t="s">
        <v>373</v>
      </c>
      <c r="F2358" s="71" t="s">
        <v>508</v>
      </c>
      <c r="G2358" s="71" t="s">
        <v>2805</v>
      </c>
      <c r="H2358" s="71" t="s">
        <v>2776</v>
      </c>
      <c r="I2358" s="71" t="s">
        <v>2780</v>
      </c>
    </row>
    <row r="2359" spans="1:9" ht="43.5" x14ac:dyDescent="0.35">
      <c r="A2359">
        <v>16</v>
      </c>
      <c r="B2359">
        <v>113</v>
      </c>
      <c r="C2359" t="s">
        <v>2895</v>
      </c>
      <c r="D2359" s="64">
        <f>VLOOKUP(C2359,'CHAS - Cook Co'!$C$1:$J$2762,2,FALSE) - VLOOKUP(C2359,'CHAS - Chicago'!$C$1:$J$2762,2,FALSE)</f>
        <v>0</v>
      </c>
      <c r="E2359" t="s">
        <v>373</v>
      </c>
      <c r="F2359" s="71" t="s">
        <v>508</v>
      </c>
      <c r="G2359" s="71" t="s">
        <v>2805</v>
      </c>
      <c r="H2359" s="71" t="s">
        <v>2776</v>
      </c>
      <c r="I2359" s="71" t="s">
        <v>2782</v>
      </c>
    </row>
    <row r="2360" spans="1:9" ht="43.5" x14ac:dyDescent="0.35">
      <c r="A2360">
        <v>16</v>
      </c>
      <c r="B2360">
        <v>114</v>
      </c>
      <c r="C2360" t="s">
        <v>2896</v>
      </c>
      <c r="D2360" s="64">
        <f>VLOOKUP(C2360,'CHAS - Cook Co'!$C$1:$J$2762,2,FALSE) - VLOOKUP(C2360,'CHAS - Chicago'!$C$1:$J$2762,2,FALSE)</f>
        <v>19635</v>
      </c>
      <c r="E2360" t="s">
        <v>366</v>
      </c>
      <c r="F2360" s="71" t="s">
        <v>508</v>
      </c>
      <c r="G2360" s="71" t="s">
        <v>388</v>
      </c>
      <c r="H2360" s="71" t="s">
        <v>2784</v>
      </c>
      <c r="I2360" s="71" t="s">
        <v>2772</v>
      </c>
    </row>
    <row r="2361" spans="1:9" ht="43.5" x14ac:dyDescent="0.35">
      <c r="A2361">
        <v>16</v>
      </c>
      <c r="B2361">
        <v>115</v>
      </c>
      <c r="C2361" t="s">
        <v>2897</v>
      </c>
      <c r="D2361" s="64">
        <f>VLOOKUP(C2361,'CHAS - Cook Co'!$C$1:$J$2762,2,FALSE) - VLOOKUP(C2361,'CHAS - Chicago'!$C$1:$J$2762,2,FALSE)</f>
        <v>16505</v>
      </c>
      <c r="E2361" t="s">
        <v>373</v>
      </c>
      <c r="F2361" s="71" t="s">
        <v>508</v>
      </c>
      <c r="G2361" s="71" t="s">
        <v>388</v>
      </c>
      <c r="H2361" s="71" t="s">
        <v>2784</v>
      </c>
      <c r="I2361" s="71" t="s">
        <v>2778</v>
      </c>
    </row>
    <row r="2362" spans="1:9" ht="43.5" x14ac:dyDescent="0.35">
      <c r="A2362">
        <v>16</v>
      </c>
      <c r="B2362">
        <v>116</v>
      </c>
      <c r="C2362" t="s">
        <v>2898</v>
      </c>
      <c r="D2362" s="64">
        <f>VLOOKUP(C2362,'CHAS - Cook Co'!$C$1:$J$2762,2,FALSE) - VLOOKUP(C2362,'CHAS - Chicago'!$C$1:$J$2762,2,FALSE)</f>
        <v>3130</v>
      </c>
      <c r="E2362" t="s">
        <v>373</v>
      </c>
      <c r="F2362" s="71" t="s">
        <v>508</v>
      </c>
      <c r="G2362" s="71" t="s">
        <v>388</v>
      </c>
      <c r="H2362" s="71" t="s">
        <v>2784</v>
      </c>
      <c r="I2362" s="71" t="s">
        <v>2780</v>
      </c>
    </row>
    <row r="2363" spans="1:9" ht="43.5" x14ac:dyDescent="0.35">
      <c r="A2363">
        <v>16</v>
      </c>
      <c r="B2363">
        <v>117</v>
      </c>
      <c r="C2363" t="s">
        <v>2899</v>
      </c>
      <c r="D2363" s="64">
        <f>VLOOKUP(C2363,'CHAS - Cook Co'!$C$1:$J$2762,2,FALSE) - VLOOKUP(C2363,'CHAS - Chicago'!$C$1:$J$2762,2,FALSE)</f>
        <v>0</v>
      </c>
      <c r="E2363" t="s">
        <v>373</v>
      </c>
      <c r="F2363" s="71" t="s">
        <v>508</v>
      </c>
      <c r="G2363" s="71" t="s">
        <v>388</v>
      </c>
      <c r="H2363" s="71" t="s">
        <v>2784</v>
      </c>
      <c r="I2363" s="71" t="s">
        <v>2782</v>
      </c>
    </row>
    <row r="2364" spans="1:9" ht="43.5" x14ac:dyDescent="0.35">
      <c r="A2364">
        <v>16</v>
      </c>
      <c r="B2364">
        <v>118</v>
      </c>
      <c r="C2364" t="s">
        <v>2900</v>
      </c>
      <c r="D2364" s="64">
        <f>VLOOKUP(C2364,'CHAS - Cook Co'!$C$1:$J$2762,2,FALSE) - VLOOKUP(C2364,'CHAS - Chicago'!$C$1:$J$2762,2,FALSE)</f>
        <v>6560</v>
      </c>
      <c r="E2364" t="s">
        <v>366</v>
      </c>
      <c r="F2364" s="71" t="s">
        <v>508</v>
      </c>
      <c r="G2364" s="71" t="s">
        <v>388</v>
      </c>
      <c r="H2364" s="71" t="s">
        <v>2789</v>
      </c>
      <c r="I2364" s="71" t="s">
        <v>2772</v>
      </c>
    </row>
    <row r="2365" spans="1:9" ht="43.5" x14ac:dyDescent="0.35">
      <c r="A2365">
        <v>16</v>
      </c>
      <c r="B2365">
        <v>119</v>
      </c>
      <c r="C2365" t="s">
        <v>2901</v>
      </c>
      <c r="D2365" s="64">
        <f>VLOOKUP(C2365,'CHAS - Cook Co'!$C$1:$J$2762,2,FALSE) - VLOOKUP(C2365,'CHAS - Chicago'!$C$1:$J$2762,2,FALSE)</f>
        <v>5860</v>
      </c>
      <c r="E2365" t="s">
        <v>373</v>
      </c>
      <c r="F2365" s="71" t="s">
        <v>508</v>
      </c>
      <c r="G2365" s="71" t="s">
        <v>388</v>
      </c>
      <c r="H2365" s="71" t="s">
        <v>2789</v>
      </c>
      <c r="I2365" s="71" t="s">
        <v>2778</v>
      </c>
    </row>
    <row r="2366" spans="1:9" ht="43.5" x14ac:dyDescent="0.35">
      <c r="A2366">
        <v>16</v>
      </c>
      <c r="B2366">
        <v>120</v>
      </c>
      <c r="C2366" t="s">
        <v>2902</v>
      </c>
      <c r="D2366" s="64">
        <f>VLOOKUP(C2366,'CHAS - Cook Co'!$C$1:$J$2762,2,FALSE) - VLOOKUP(C2366,'CHAS - Chicago'!$C$1:$J$2762,2,FALSE)</f>
        <v>700</v>
      </c>
      <c r="E2366" t="s">
        <v>373</v>
      </c>
      <c r="F2366" s="71" t="s">
        <v>508</v>
      </c>
      <c r="G2366" s="71" t="s">
        <v>388</v>
      </c>
      <c r="H2366" s="71" t="s">
        <v>2789</v>
      </c>
      <c r="I2366" s="71" t="s">
        <v>2780</v>
      </c>
    </row>
    <row r="2367" spans="1:9" ht="43.5" x14ac:dyDescent="0.35">
      <c r="A2367">
        <v>16</v>
      </c>
      <c r="B2367">
        <v>121</v>
      </c>
      <c r="C2367" t="s">
        <v>2903</v>
      </c>
      <c r="D2367" s="64">
        <f>VLOOKUP(C2367,'CHAS - Cook Co'!$C$1:$J$2762,2,FALSE) - VLOOKUP(C2367,'CHAS - Chicago'!$C$1:$J$2762,2,FALSE)</f>
        <v>0</v>
      </c>
      <c r="E2367" t="s">
        <v>373</v>
      </c>
      <c r="F2367" s="71" t="s">
        <v>508</v>
      </c>
      <c r="G2367" s="71" t="s">
        <v>388</v>
      </c>
      <c r="H2367" s="71" t="s">
        <v>2789</v>
      </c>
      <c r="I2367" s="71" t="s">
        <v>2782</v>
      </c>
    </row>
    <row r="2368" spans="1:9" ht="58" x14ac:dyDescent="0.35">
      <c r="A2368">
        <v>16</v>
      </c>
      <c r="B2368">
        <v>122</v>
      </c>
      <c r="C2368" t="s">
        <v>2904</v>
      </c>
      <c r="D2368" s="64">
        <f>VLOOKUP(C2368,'CHAS - Cook Co'!$C$1:$J$2762,2,FALSE) - VLOOKUP(C2368,'CHAS - Chicago'!$C$1:$J$2762,2,FALSE)</f>
        <v>8255</v>
      </c>
      <c r="E2368" t="s">
        <v>366</v>
      </c>
      <c r="F2368" s="71" t="s">
        <v>508</v>
      </c>
      <c r="G2368" s="71" t="s">
        <v>388</v>
      </c>
      <c r="H2368" s="71" t="s">
        <v>2794</v>
      </c>
      <c r="I2368" s="71" t="s">
        <v>2772</v>
      </c>
    </row>
    <row r="2369" spans="1:9" ht="58" x14ac:dyDescent="0.35">
      <c r="A2369">
        <v>16</v>
      </c>
      <c r="B2369">
        <v>123</v>
      </c>
      <c r="C2369" t="s">
        <v>2905</v>
      </c>
      <c r="D2369" s="64">
        <f>VLOOKUP(C2369,'CHAS - Cook Co'!$C$1:$J$2762,2,FALSE) - VLOOKUP(C2369,'CHAS - Chicago'!$C$1:$J$2762,2,FALSE)</f>
        <v>6580</v>
      </c>
      <c r="E2369" t="s">
        <v>373</v>
      </c>
      <c r="F2369" s="71" t="s">
        <v>508</v>
      </c>
      <c r="G2369" s="71" t="s">
        <v>388</v>
      </c>
      <c r="H2369" s="71" t="s">
        <v>2794</v>
      </c>
      <c r="I2369" s="71" t="s">
        <v>2778</v>
      </c>
    </row>
    <row r="2370" spans="1:9" ht="58" x14ac:dyDescent="0.35">
      <c r="A2370">
        <v>16</v>
      </c>
      <c r="B2370">
        <v>124</v>
      </c>
      <c r="C2370" t="s">
        <v>2906</v>
      </c>
      <c r="D2370" s="64">
        <f>VLOOKUP(C2370,'CHAS - Cook Co'!$C$1:$J$2762,2,FALSE) - VLOOKUP(C2370,'CHAS - Chicago'!$C$1:$J$2762,2,FALSE)</f>
        <v>1665</v>
      </c>
      <c r="E2370" t="s">
        <v>373</v>
      </c>
      <c r="F2370" s="71" t="s">
        <v>508</v>
      </c>
      <c r="G2370" s="71" t="s">
        <v>388</v>
      </c>
      <c r="H2370" s="71" t="s">
        <v>2794</v>
      </c>
      <c r="I2370" s="71" t="s">
        <v>2780</v>
      </c>
    </row>
    <row r="2371" spans="1:9" ht="58" x14ac:dyDescent="0.35">
      <c r="A2371">
        <v>16</v>
      </c>
      <c r="B2371">
        <v>125</v>
      </c>
      <c r="C2371" t="s">
        <v>2907</v>
      </c>
      <c r="D2371" s="64">
        <f>VLOOKUP(C2371,'CHAS - Cook Co'!$C$1:$J$2762,2,FALSE) - VLOOKUP(C2371,'CHAS - Chicago'!$C$1:$J$2762,2,FALSE)</f>
        <v>0</v>
      </c>
      <c r="E2371" t="s">
        <v>373</v>
      </c>
      <c r="F2371" s="71" t="s">
        <v>508</v>
      </c>
      <c r="G2371" s="71" t="s">
        <v>388</v>
      </c>
      <c r="H2371" s="71" t="s">
        <v>2794</v>
      </c>
      <c r="I2371" s="71" t="s">
        <v>2782</v>
      </c>
    </row>
    <row r="2372" spans="1:9" ht="43.5" x14ac:dyDescent="0.35">
      <c r="A2372">
        <v>16</v>
      </c>
      <c r="B2372">
        <v>126</v>
      </c>
      <c r="C2372" t="s">
        <v>2908</v>
      </c>
      <c r="D2372" s="64">
        <f>VLOOKUP(C2372,'CHAS - Cook Co'!$C$1:$J$2762,2,FALSE) - VLOOKUP(C2372,'CHAS - Chicago'!$C$1:$J$2762,2,FALSE)</f>
        <v>11380</v>
      </c>
      <c r="E2372" t="s">
        <v>366</v>
      </c>
      <c r="F2372" s="71" t="s">
        <v>508</v>
      </c>
      <c r="G2372" s="71" t="s">
        <v>388</v>
      </c>
      <c r="H2372" s="71" t="s">
        <v>2799</v>
      </c>
      <c r="I2372" s="71" t="s">
        <v>2772</v>
      </c>
    </row>
    <row r="2373" spans="1:9" ht="43.5" x14ac:dyDescent="0.35">
      <c r="A2373">
        <v>16</v>
      </c>
      <c r="B2373">
        <v>127</v>
      </c>
      <c r="C2373" t="s">
        <v>2909</v>
      </c>
      <c r="D2373" s="64">
        <f>VLOOKUP(C2373,'CHAS - Cook Co'!$C$1:$J$2762,2,FALSE) - VLOOKUP(C2373,'CHAS - Chicago'!$C$1:$J$2762,2,FALSE)</f>
        <v>10210</v>
      </c>
      <c r="E2373" t="s">
        <v>373</v>
      </c>
      <c r="F2373" s="71" t="s">
        <v>508</v>
      </c>
      <c r="G2373" s="71" t="s">
        <v>388</v>
      </c>
      <c r="H2373" s="71" t="s">
        <v>2799</v>
      </c>
      <c r="I2373" s="71" t="s">
        <v>2778</v>
      </c>
    </row>
    <row r="2374" spans="1:9" ht="43.5" x14ac:dyDescent="0.35">
      <c r="A2374">
        <v>16</v>
      </c>
      <c r="B2374">
        <v>128</v>
      </c>
      <c r="C2374" t="s">
        <v>2910</v>
      </c>
      <c r="D2374" s="64">
        <f>VLOOKUP(C2374,'CHAS - Cook Co'!$C$1:$J$2762,2,FALSE) - VLOOKUP(C2374,'CHAS - Chicago'!$C$1:$J$2762,2,FALSE)</f>
        <v>1170</v>
      </c>
      <c r="E2374" t="s">
        <v>373</v>
      </c>
      <c r="F2374" s="71" t="s">
        <v>508</v>
      </c>
      <c r="G2374" s="71" t="s">
        <v>388</v>
      </c>
      <c r="H2374" s="71" t="s">
        <v>2799</v>
      </c>
      <c r="I2374" s="71" t="s">
        <v>2780</v>
      </c>
    </row>
    <row r="2375" spans="1:9" ht="43.5" x14ac:dyDescent="0.35">
      <c r="A2375">
        <v>16</v>
      </c>
      <c r="B2375">
        <v>129</v>
      </c>
      <c r="C2375" t="s">
        <v>2911</v>
      </c>
      <c r="D2375" s="64">
        <f>VLOOKUP(C2375,'CHAS - Cook Co'!$C$1:$J$2762,2,FALSE) - VLOOKUP(C2375,'CHAS - Chicago'!$C$1:$J$2762,2,FALSE)</f>
        <v>0</v>
      </c>
      <c r="E2375" t="s">
        <v>373</v>
      </c>
      <c r="F2375" s="71" t="s">
        <v>508</v>
      </c>
      <c r="G2375" s="71" t="s">
        <v>388</v>
      </c>
      <c r="H2375" s="71" t="s">
        <v>2799</v>
      </c>
      <c r="I2375" s="71" t="s">
        <v>2782</v>
      </c>
    </row>
    <row r="2376" spans="1:9" ht="43.5" x14ac:dyDescent="0.35">
      <c r="A2376">
        <v>16</v>
      </c>
      <c r="B2376">
        <v>130</v>
      </c>
      <c r="C2376" t="s">
        <v>2912</v>
      </c>
      <c r="D2376" s="64">
        <f>VLOOKUP(C2376,'CHAS - Cook Co'!$C$1:$J$2762,2,FALSE) - VLOOKUP(C2376,'CHAS - Chicago'!$C$1:$J$2762,2,FALSE)</f>
        <v>54040</v>
      </c>
      <c r="E2376" t="s">
        <v>366</v>
      </c>
      <c r="F2376" s="71" t="s">
        <v>508</v>
      </c>
      <c r="G2376" s="71" t="s">
        <v>397</v>
      </c>
      <c r="H2376" s="71" t="s">
        <v>982</v>
      </c>
      <c r="I2376" s="71" t="s">
        <v>2772</v>
      </c>
    </row>
    <row r="2377" spans="1:9" ht="43.5" x14ac:dyDescent="0.35">
      <c r="A2377">
        <v>16</v>
      </c>
      <c r="B2377">
        <v>131</v>
      </c>
      <c r="C2377" t="s">
        <v>2913</v>
      </c>
      <c r="D2377" s="64">
        <f>VLOOKUP(C2377,'CHAS - Cook Co'!$C$1:$J$2762,2,FALSE) - VLOOKUP(C2377,'CHAS - Chicago'!$C$1:$J$2762,2,FALSE)</f>
        <v>2215</v>
      </c>
      <c r="E2377" t="s">
        <v>366</v>
      </c>
      <c r="F2377" s="71" t="s">
        <v>508</v>
      </c>
      <c r="G2377" s="71" t="s">
        <v>2827</v>
      </c>
      <c r="H2377" s="71" t="s">
        <v>2776</v>
      </c>
      <c r="I2377" s="71" t="s">
        <v>2772</v>
      </c>
    </row>
    <row r="2378" spans="1:9" ht="43.5" x14ac:dyDescent="0.35">
      <c r="A2378">
        <v>16</v>
      </c>
      <c r="B2378">
        <v>132</v>
      </c>
      <c r="C2378" t="s">
        <v>2914</v>
      </c>
      <c r="D2378" s="64">
        <f>VLOOKUP(C2378,'CHAS - Cook Co'!$C$1:$J$2762,2,FALSE) - VLOOKUP(C2378,'CHAS - Chicago'!$C$1:$J$2762,2,FALSE)</f>
        <v>1005</v>
      </c>
      <c r="E2378" t="s">
        <v>373</v>
      </c>
      <c r="F2378" s="71" t="s">
        <v>508</v>
      </c>
      <c r="G2378" s="71" t="s">
        <v>2827</v>
      </c>
      <c r="H2378" s="71" t="s">
        <v>2776</v>
      </c>
      <c r="I2378" s="71" t="s">
        <v>2778</v>
      </c>
    </row>
    <row r="2379" spans="1:9" ht="43.5" x14ac:dyDescent="0.35">
      <c r="A2379">
        <v>16</v>
      </c>
      <c r="B2379">
        <v>133</v>
      </c>
      <c r="C2379" t="s">
        <v>2915</v>
      </c>
      <c r="D2379" s="64">
        <f>VLOOKUP(C2379,'CHAS - Cook Co'!$C$1:$J$2762,2,FALSE) - VLOOKUP(C2379,'CHAS - Chicago'!$C$1:$J$2762,2,FALSE)</f>
        <v>1210</v>
      </c>
      <c r="E2379" t="s">
        <v>373</v>
      </c>
      <c r="F2379" s="71" t="s">
        <v>508</v>
      </c>
      <c r="G2379" s="71" t="s">
        <v>2827</v>
      </c>
      <c r="H2379" s="71" t="s">
        <v>2776</v>
      </c>
      <c r="I2379" s="71" t="s">
        <v>2780</v>
      </c>
    </row>
    <row r="2380" spans="1:9" ht="43.5" x14ac:dyDescent="0.35">
      <c r="A2380">
        <v>16</v>
      </c>
      <c r="B2380">
        <v>134</v>
      </c>
      <c r="C2380" t="s">
        <v>2916</v>
      </c>
      <c r="D2380" s="64">
        <f>VLOOKUP(C2380,'CHAS - Cook Co'!$C$1:$J$2762,2,FALSE) - VLOOKUP(C2380,'CHAS - Chicago'!$C$1:$J$2762,2,FALSE)</f>
        <v>0</v>
      </c>
      <c r="E2380" t="s">
        <v>373</v>
      </c>
      <c r="F2380" s="71" t="s">
        <v>508</v>
      </c>
      <c r="G2380" s="71" t="s">
        <v>2827</v>
      </c>
      <c r="H2380" s="71" t="s">
        <v>2776</v>
      </c>
      <c r="I2380" s="71" t="s">
        <v>2782</v>
      </c>
    </row>
    <row r="2381" spans="1:9" ht="43.5" x14ac:dyDescent="0.35">
      <c r="A2381">
        <v>16</v>
      </c>
      <c r="B2381">
        <v>135</v>
      </c>
      <c r="C2381" t="s">
        <v>2917</v>
      </c>
      <c r="D2381" s="64">
        <f>VLOOKUP(C2381,'CHAS - Cook Co'!$C$1:$J$2762,2,FALSE) - VLOOKUP(C2381,'CHAS - Chicago'!$C$1:$J$2762,2,FALSE)</f>
        <v>24390</v>
      </c>
      <c r="E2381" t="s">
        <v>366</v>
      </c>
      <c r="F2381" s="71" t="s">
        <v>508</v>
      </c>
      <c r="G2381" s="71" t="s">
        <v>397</v>
      </c>
      <c r="H2381" s="71" t="s">
        <v>2784</v>
      </c>
      <c r="I2381" s="71" t="s">
        <v>2772</v>
      </c>
    </row>
    <row r="2382" spans="1:9" ht="43.5" x14ac:dyDescent="0.35">
      <c r="A2382">
        <v>16</v>
      </c>
      <c r="B2382">
        <v>136</v>
      </c>
      <c r="C2382" t="s">
        <v>2918</v>
      </c>
      <c r="D2382" s="64">
        <f>VLOOKUP(C2382,'CHAS - Cook Co'!$C$1:$J$2762,2,FALSE) - VLOOKUP(C2382,'CHAS - Chicago'!$C$1:$J$2762,2,FALSE)</f>
        <v>9420</v>
      </c>
      <c r="E2382" t="s">
        <v>373</v>
      </c>
      <c r="F2382" s="71" t="s">
        <v>508</v>
      </c>
      <c r="G2382" s="71" t="s">
        <v>397</v>
      </c>
      <c r="H2382" s="71" t="s">
        <v>2784</v>
      </c>
      <c r="I2382" s="71" t="s">
        <v>2778</v>
      </c>
    </row>
    <row r="2383" spans="1:9" ht="43.5" x14ac:dyDescent="0.35">
      <c r="A2383">
        <v>16</v>
      </c>
      <c r="B2383">
        <v>137</v>
      </c>
      <c r="C2383" t="s">
        <v>2919</v>
      </c>
      <c r="D2383" s="64">
        <f>VLOOKUP(C2383,'CHAS - Cook Co'!$C$1:$J$2762,2,FALSE) - VLOOKUP(C2383,'CHAS - Chicago'!$C$1:$J$2762,2,FALSE)</f>
        <v>14970</v>
      </c>
      <c r="E2383" t="s">
        <v>373</v>
      </c>
      <c r="F2383" s="71" t="s">
        <v>508</v>
      </c>
      <c r="G2383" s="71" t="s">
        <v>397</v>
      </c>
      <c r="H2383" s="71" t="s">
        <v>2784</v>
      </c>
      <c r="I2383" s="71" t="s">
        <v>2780</v>
      </c>
    </row>
    <row r="2384" spans="1:9" ht="43.5" x14ac:dyDescent="0.35">
      <c r="A2384">
        <v>16</v>
      </c>
      <c r="B2384">
        <v>138</v>
      </c>
      <c r="C2384" t="s">
        <v>2920</v>
      </c>
      <c r="D2384" s="64">
        <f>VLOOKUP(C2384,'CHAS - Cook Co'!$C$1:$J$2762,2,FALSE) - VLOOKUP(C2384,'CHAS - Chicago'!$C$1:$J$2762,2,FALSE)</f>
        <v>0</v>
      </c>
      <c r="E2384" t="s">
        <v>373</v>
      </c>
      <c r="F2384" s="71" t="s">
        <v>508</v>
      </c>
      <c r="G2384" s="71" t="s">
        <v>397</v>
      </c>
      <c r="H2384" s="71" t="s">
        <v>2784</v>
      </c>
      <c r="I2384" s="71" t="s">
        <v>2782</v>
      </c>
    </row>
    <row r="2385" spans="1:9" ht="43.5" x14ac:dyDescent="0.35">
      <c r="A2385">
        <v>16</v>
      </c>
      <c r="B2385">
        <v>139</v>
      </c>
      <c r="C2385" t="s">
        <v>2921</v>
      </c>
      <c r="D2385" s="64">
        <f>VLOOKUP(C2385,'CHAS - Cook Co'!$C$1:$J$2762,2,FALSE) - VLOOKUP(C2385,'CHAS - Chicago'!$C$1:$J$2762,2,FALSE)</f>
        <v>5265</v>
      </c>
      <c r="E2385" t="s">
        <v>366</v>
      </c>
      <c r="F2385" s="71" t="s">
        <v>508</v>
      </c>
      <c r="G2385" s="71" t="s">
        <v>397</v>
      </c>
      <c r="H2385" s="71" t="s">
        <v>2789</v>
      </c>
      <c r="I2385" s="71" t="s">
        <v>2772</v>
      </c>
    </row>
    <row r="2386" spans="1:9" ht="43.5" x14ac:dyDescent="0.35">
      <c r="A2386">
        <v>16</v>
      </c>
      <c r="B2386">
        <v>140</v>
      </c>
      <c r="C2386" t="s">
        <v>2922</v>
      </c>
      <c r="D2386" s="64">
        <f>VLOOKUP(C2386,'CHAS - Cook Co'!$C$1:$J$2762,2,FALSE) - VLOOKUP(C2386,'CHAS - Chicago'!$C$1:$J$2762,2,FALSE)</f>
        <v>3210</v>
      </c>
      <c r="E2386" t="s">
        <v>373</v>
      </c>
      <c r="F2386" s="71" t="s">
        <v>508</v>
      </c>
      <c r="G2386" s="71" t="s">
        <v>397</v>
      </c>
      <c r="H2386" s="71" t="s">
        <v>2789</v>
      </c>
      <c r="I2386" s="71" t="s">
        <v>2778</v>
      </c>
    </row>
    <row r="2387" spans="1:9" ht="43.5" x14ac:dyDescent="0.35">
      <c r="A2387">
        <v>16</v>
      </c>
      <c r="B2387">
        <v>141</v>
      </c>
      <c r="C2387" t="s">
        <v>2923</v>
      </c>
      <c r="D2387" s="64">
        <f>VLOOKUP(C2387,'CHAS - Cook Co'!$C$1:$J$2762,2,FALSE) - VLOOKUP(C2387,'CHAS - Chicago'!$C$1:$J$2762,2,FALSE)</f>
        <v>2055</v>
      </c>
      <c r="E2387" t="s">
        <v>373</v>
      </c>
      <c r="F2387" s="71" t="s">
        <v>508</v>
      </c>
      <c r="G2387" s="71" t="s">
        <v>397</v>
      </c>
      <c r="H2387" s="71" t="s">
        <v>2789</v>
      </c>
      <c r="I2387" s="71" t="s">
        <v>2780</v>
      </c>
    </row>
    <row r="2388" spans="1:9" ht="43.5" x14ac:dyDescent="0.35">
      <c r="A2388">
        <v>16</v>
      </c>
      <c r="B2388">
        <v>142</v>
      </c>
      <c r="C2388" t="s">
        <v>2924</v>
      </c>
      <c r="D2388" s="64">
        <f>VLOOKUP(C2388,'CHAS - Cook Co'!$C$1:$J$2762,2,FALSE) - VLOOKUP(C2388,'CHAS - Chicago'!$C$1:$J$2762,2,FALSE)</f>
        <v>0</v>
      </c>
      <c r="E2388" t="s">
        <v>373</v>
      </c>
      <c r="F2388" s="71" t="s">
        <v>508</v>
      </c>
      <c r="G2388" s="71" t="s">
        <v>397</v>
      </c>
      <c r="H2388" s="71" t="s">
        <v>2789</v>
      </c>
      <c r="I2388" s="71" t="s">
        <v>2782</v>
      </c>
    </row>
    <row r="2389" spans="1:9" ht="58" x14ac:dyDescent="0.35">
      <c r="A2389">
        <v>16</v>
      </c>
      <c r="B2389">
        <v>143</v>
      </c>
      <c r="C2389" t="s">
        <v>2925</v>
      </c>
      <c r="D2389" s="64">
        <f>VLOOKUP(C2389,'CHAS - Cook Co'!$C$1:$J$2762,2,FALSE) - VLOOKUP(C2389,'CHAS - Chicago'!$C$1:$J$2762,2,FALSE)</f>
        <v>5490</v>
      </c>
      <c r="E2389" t="s">
        <v>366</v>
      </c>
      <c r="F2389" s="71" t="s">
        <v>508</v>
      </c>
      <c r="G2389" s="71" t="s">
        <v>397</v>
      </c>
      <c r="H2389" s="71" t="s">
        <v>2794</v>
      </c>
      <c r="I2389" s="71" t="s">
        <v>2772</v>
      </c>
    </row>
    <row r="2390" spans="1:9" ht="58" x14ac:dyDescent="0.35">
      <c r="A2390">
        <v>16</v>
      </c>
      <c r="B2390">
        <v>144</v>
      </c>
      <c r="C2390" t="s">
        <v>2926</v>
      </c>
      <c r="D2390" s="64">
        <f>VLOOKUP(C2390,'CHAS - Cook Co'!$C$1:$J$2762,2,FALSE) - VLOOKUP(C2390,'CHAS - Chicago'!$C$1:$J$2762,2,FALSE)</f>
        <v>2755</v>
      </c>
      <c r="E2390" t="s">
        <v>373</v>
      </c>
      <c r="F2390" s="71" t="s">
        <v>508</v>
      </c>
      <c r="G2390" s="71" t="s">
        <v>397</v>
      </c>
      <c r="H2390" s="71" t="s">
        <v>2794</v>
      </c>
      <c r="I2390" s="71" t="s">
        <v>2778</v>
      </c>
    </row>
    <row r="2391" spans="1:9" ht="58" x14ac:dyDescent="0.35">
      <c r="A2391">
        <v>16</v>
      </c>
      <c r="B2391">
        <v>145</v>
      </c>
      <c r="C2391" t="s">
        <v>2927</v>
      </c>
      <c r="D2391" s="64">
        <f>VLOOKUP(C2391,'CHAS - Cook Co'!$C$1:$J$2762,2,FALSE) - VLOOKUP(C2391,'CHAS - Chicago'!$C$1:$J$2762,2,FALSE)</f>
        <v>2735</v>
      </c>
      <c r="E2391" t="s">
        <v>373</v>
      </c>
      <c r="F2391" s="71" t="s">
        <v>508</v>
      </c>
      <c r="G2391" s="71" t="s">
        <v>397</v>
      </c>
      <c r="H2391" s="71" t="s">
        <v>2794</v>
      </c>
      <c r="I2391" s="71" t="s">
        <v>2780</v>
      </c>
    </row>
    <row r="2392" spans="1:9" ht="58" x14ac:dyDescent="0.35">
      <c r="A2392">
        <v>16</v>
      </c>
      <c r="B2392">
        <v>146</v>
      </c>
      <c r="C2392" t="s">
        <v>2928</v>
      </c>
      <c r="D2392" s="64">
        <f>VLOOKUP(C2392,'CHAS - Cook Co'!$C$1:$J$2762,2,FALSE) - VLOOKUP(C2392,'CHAS - Chicago'!$C$1:$J$2762,2,FALSE)</f>
        <v>0</v>
      </c>
      <c r="E2392" t="s">
        <v>373</v>
      </c>
      <c r="F2392" s="71" t="s">
        <v>508</v>
      </c>
      <c r="G2392" s="71" t="s">
        <v>397</v>
      </c>
      <c r="H2392" s="71" t="s">
        <v>2794</v>
      </c>
      <c r="I2392" s="71" t="s">
        <v>2782</v>
      </c>
    </row>
    <row r="2393" spans="1:9" ht="43.5" x14ac:dyDescent="0.35">
      <c r="A2393">
        <v>16</v>
      </c>
      <c r="B2393">
        <v>147</v>
      </c>
      <c r="C2393" t="s">
        <v>2929</v>
      </c>
      <c r="D2393" s="64">
        <f>VLOOKUP(C2393,'CHAS - Cook Co'!$C$1:$J$2762,2,FALSE) - VLOOKUP(C2393,'CHAS - Chicago'!$C$1:$J$2762,2,FALSE)</f>
        <v>16685</v>
      </c>
      <c r="E2393" t="s">
        <v>366</v>
      </c>
      <c r="F2393" s="71" t="s">
        <v>508</v>
      </c>
      <c r="G2393" s="71" t="s">
        <v>397</v>
      </c>
      <c r="H2393" s="71" t="s">
        <v>2799</v>
      </c>
      <c r="I2393" s="71" t="s">
        <v>2772</v>
      </c>
    </row>
    <row r="2394" spans="1:9" ht="43.5" x14ac:dyDescent="0.35">
      <c r="A2394">
        <v>16</v>
      </c>
      <c r="B2394">
        <v>148</v>
      </c>
      <c r="C2394" t="s">
        <v>2930</v>
      </c>
      <c r="D2394" s="64">
        <f>VLOOKUP(C2394,'CHAS - Cook Co'!$C$1:$J$2762,2,FALSE) - VLOOKUP(C2394,'CHAS - Chicago'!$C$1:$J$2762,2,FALSE)</f>
        <v>6665</v>
      </c>
      <c r="E2394" t="s">
        <v>373</v>
      </c>
      <c r="F2394" s="71" t="s">
        <v>508</v>
      </c>
      <c r="G2394" s="71" t="s">
        <v>397</v>
      </c>
      <c r="H2394" s="71" t="s">
        <v>2799</v>
      </c>
      <c r="I2394" s="71" t="s">
        <v>2778</v>
      </c>
    </row>
    <row r="2395" spans="1:9" ht="43.5" x14ac:dyDescent="0.35">
      <c r="A2395">
        <v>16</v>
      </c>
      <c r="B2395">
        <v>149</v>
      </c>
      <c r="C2395" t="s">
        <v>2931</v>
      </c>
      <c r="D2395" s="64">
        <f>VLOOKUP(C2395,'CHAS - Cook Co'!$C$1:$J$2762,2,FALSE) - VLOOKUP(C2395,'CHAS - Chicago'!$C$1:$J$2762,2,FALSE)</f>
        <v>10020</v>
      </c>
      <c r="E2395" t="s">
        <v>373</v>
      </c>
      <c r="F2395" s="71" t="s">
        <v>508</v>
      </c>
      <c r="G2395" s="71" t="s">
        <v>397</v>
      </c>
      <c r="H2395" s="71" t="s">
        <v>2799</v>
      </c>
      <c r="I2395" s="71" t="s">
        <v>2780</v>
      </c>
    </row>
    <row r="2396" spans="1:9" ht="43.5" x14ac:dyDescent="0.35">
      <c r="A2396">
        <v>16</v>
      </c>
      <c r="B2396">
        <v>150</v>
      </c>
      <c r="C2396" t="s">
        <v>2932</v>
      </c>
      <c r="D2396" s="64">
        <f>VLOOKUP(C2396,'CHAS - Cook Co'!$C$1:$J$2762,2,FALSE) - VLOOKUP(C2396,'CHAS - Chicago'!$C$1:$J$2762,2,FALSE)</f>
        <v>0</v>
      </c>
      <c r="E2396" t="s">
        <v>373</v>
      </c>
      <c r="F2396" s="71" t="s">
        <v>508</v>
      </c>
      <c r="G2396" s="71" t="s">
        <v>397</v>
      </c>
      <c r="H2396" s="71" t="s">
        <v>2799</v>
      </c>
      <c r="I2396" s="71" t="s">
        <v>2782</v>
      </c>
    </row>
    <row r="2397" spans="1:9" ht="29" x14ac:dyDescent="0.35">
      <c r="A2397">
        <v>16</v>
      </c>
      <c r="B2397">
        <v>151</v>
      </c>
      <c r="C2397" t="s">
        <v>2933</v>
      </c>
      <c r="D2397" s="64">
        <f>VLOOKUP(C2397,'CHAS - Cook Co'!$C$1:$J$2762,2,FALSE) - VLOOKUP(C2397,'CHAS - Chicago'!$C$1:$J$2762,2,FALSE)</f>
        <v>89450</v>
      </c>
      <c r="E2397" t="s">
        <v>366</v>
      </c>
      <c r="F2397" s="71" t="s">
        <v>508</v>
      </c>
      <c r="G2397" s="71" t="s">
        <v>2848</v>
      </c>
      <c r="H2397" s="71" t="s">
        <v>982</v>
      </c>
      <c r="I2397" s="71" t="s">
        <v>2772</v>
      </c>
    </row>
    <row r="2398" spans="1:9" ht="43.5" x14ac:dyDescent="0.35">
      <c r="A2398">
        <v>16</v>
      </c>
      <c r="B2398">
        <v>152</v>
      </c>
      <c r="C2398" t="s">
        <v>2934</v>
      </c>
      <c r="D2398" s="64">
        <f>VLOOKUP(C2398,'CHAS - Cook Co'!$C$1:$J$2762,2,FALSE) - VLOOKUP(C2398,'CHAS - Chicago'!$C$1:$J$2762,2,FALSE)</f>
        <v>4085</v>
      </c>
      <c r="E2398" t="s">
        <v>366</v>
      </c>
      <c r="F2398" s="71" t="s">
        <v>508</v>
      </c>
      <c r="G2398" s="71" t="s">
        <v>2848</v>
      </c>
      <c r="H2398" s="71" t="s">
        <v>2776</v>
      </c>
      <c r="I2398" s="71" t="s">
        <v>2772</v>
      </c>
    </row>
    <row r="2399" spans="1:9" ht="43.5" x14ac:dyDescent="0.35">
      <c r="A2399">
        <v>16</v>
      </c>
      <c r="B2399">
        <v>153</v>
      </c>
      <c r="C2399" t="s">
        <v>2935</v>
      </c>
      <c r="D2399" s="64">
        <f>VLOOKUP(C2399,'CHAS - Cook Co'!$C$1:$J$2762,2,FALSE) - VLOOKUP(C2399,'CHAS - Chicago'!$C$1:$J$2762,2,FALSE)</f>
        <v>610</v>
      </c>
      <c r="E2399" t="s">
        <v>373</v>
      </c>
      <c r="F2399" s="71" t="s">
        <v>508</v>
      </c>
      <c r="G2399" s="71" t="s">
        <v>2848</v>
      </c>
      <c r="H2399" s="71" t="s">
        <v>2776</v>
      </c>
      <c r="I2399" s="71" t="s">
        <v>2778</v>
      </c>
    </row>
    <row r="2400" spans="1:9" ht="43.5" x14ac:dyDescent="0.35">
      <c r="A2400">
        <v>16</v>
      </c>
      <c r="B2400">
        <v>154</v>
      </c>
      <c r="C2400" t="s">
        <v>2936</v>
      </c>
      <c r="D2400" s="64">
        <f>VLOOKUP(C2400,'CHAS - Cook Co'!$C$1:$J$2762,2,FALSE) - VLOOKUP(C2400,'CHAS - Chicago'!$C$1:$J$2762,2,FALSE)</f>
        <v>3475</v>
      </c>
      <c r="E2400" t="s">
        <v>373</v>
      </c>
      <c r="F2400" s="71" t="s">
        <v>508</v>
      </c>
      <c r="G2400" s="71" t="s">
        <v>2848</v>
      </c>
      <c r="H2400" s="71" t="s">
        <v>2776</v>
      </c>
      <c r="I2400" s="71" t="s">
        <v>2780</v>
      </c>
    </row>
    <row r="2401" spans="1:9" ht="43.5" x14ac:dyDescent="0.35">
      <c r="A2401">
        <v>16</v>
      </c>
      <c r="B2401">
        <v>155</v>
      </c>
      <c r="C2401" t="s">
        <v>2937</v>
      </c>
      <c r="D2401" s="64">
        <f>VLOOKUP(C2401,'CHAS - Cook Co'!$C$1:$J$2762,2,FALSE) - VLOOKUP(C2401,'CHAS - Chicago'!$C$1:$J$2762,2,FALSE)</f>
        <v>0</v>
      </c>
      <c r="E2401" t="s">
        <v>373</v>
      </c>
      <c r="F2401" s="71" t="s">
        <v>508</v>
      </c>
      <c r="G2401" s="71" t="s">
        <v>2848</v>
      </c>
      <c r="H2401" s="71" t="s">
        <v>2776</v>
      </c>
      <c r="I2401" s="71" t="s">
        <v>2782</v>
      </c>
    </row>
    <row r="2402" spans="1:9" ht="43.5" x14ac:dyDescent="0.35">
      <c r="A2402">
        <v>16</v>
      </c>
      <c r="B2402">
        <v>156</v>
      </c>
      <c r="C2402" t="s">
        <v>2938</v>
      </c>
      <c r="D2402" s="64">
        <f>VLOOKUP(C2402,'CHAS - Cook Co'!$C$1:$J$2762,2,FALSE) - VLOOKUP(C2402,'CHAS - Chicago'!$C$1:$J$2762,2,FALSE)</f>
        <v>42605</v>
      </c>
      <c r="E2402" t="s">
        <v>366</v>
      </c>
      <c r="F2402" s="71" t="s">
        <v>508</v>
      </c>
      <c r="G2402" s="71" t="s">
        <v>2848</v>
      </c>
      <c r="H2402" s="71" t="s">
        <v>2784</v>
      </c>
      <c r="I2402" s="71" t="s">
        <v>2772</v>
      </c>
    </row>
    <row r="2403" spans="1:9" ht="43.5" x14ac:dyDescent="0.35">
      <c r="A2403">
        <v>16</v>
      </c>
      <c r="B2403">
        <v>157</v>
      </c>
      <c r="C2403" t="s">
        <v>2939</v>
      </c>
      <c r="D2403" s="64">
        <f>VLOOKUP(C2403,'CHAS - Cook Co'!$C$1:$J$2762,2,FALSE) - VLOOKUP(C2403,'CHAS - Chicago'!$C$1:$J$2762,2,FALSE)</f>
        <v>3475</v>
      </c>
      <c r="E2403" t="s">
        <v>373</v>
      </c>
      <c r="F2403" s="71" t="s">
        <v>508</v>
      </c>
      <c r="G2403" s="71" t="s">
        <v>2848</v>
      </c>
      <c r="H2403" s="71" t="s">
        <v>2784</v>
      </c>
      <c r="I2403" s="71" t="s">
        <v>2778</v>
      </c>
    </row>
    <row r="2404" spans="1:9" ht="43.5" x14ac:dyDescent="0.35">
      <c r="A2404">
        <v>16</v>
      </c>
      <c r="B2404">
        <v>158</v>
      </c>
      <c r="C2404" t="s">
        <v>2940</v>
      </c>
      <c r="D2404" s="64">
        <f>VLOOKUP(C2404,'CHAS - Cook Co'!$C$1:$J$2762,2,FALSE) - VLOOKUP(C2404,'CHAS - Chicago'!$C$1:$J$2762,2,FALSE)</f>
        <v>39135</v>
      </c>
      <c r="E2404" t="s">
        <v>373</v>
      </c>
      <c r="F2404" s="71" t="s">
        <v>508</v>
      </c>
      <c r="G2404" s="71" t="s">
        <v>2848</v>
      </c>
      <c r="H2404" s="71" t="s">
        <v>2784</v>
      </c>
      <c r="I2404" s="71" t="s">
        <v>2780</v>
      </c>
    </row>
    <row r="2405" spans="1:9" ht="43.5" x14ac:dyDescent="0.35">
      <c r="A2405">
        <v>16</v>
      </c>
      <c r="B2405">
        <v>159</v>
      </c>
      <c r="C2405" t="s">
        <v>2941</v>
      </c>
      <c r="D2405" s="64">
        <f>VLOOKUP(C2405,'CHAS - Cook Co'!$C$1:$J$2762,2,FALSE) - VLOOKUP(C2405,'CHAS - Chicago'!$C$1:$J$2762,2,FALSE)</f>
        <v>0</v>
      </c>
      <c r="E2405" t="s">
        <v>373</v>
      </c>
      <c r="F2405" s="71" t="s">
        <v>508</v>
      </c>
      <c r="G2405" s="71" t="s">
        <v>2848</v>
      </c>
      <c r="H2405" s="71" t="s">
        <v>2784</v>
      </c>
      <c r="I2405" s="71" t="s">
        <v>2782</v>
      </c>
    </row>
    <row r="2406" spans="1:9" ht="29" x14ac:dyDescent="0.35">
      <c r="A2406">
        <v>16</v>
      </c>
      <c r="B2406">
        <v>160</v>
      </c>
      <c r="C2406" t="s">
        <v>2942</v>
      </c>
      <c r="D2406" s="64">
        <f>VLOOKUP(C2406,'CHAS - Cook Co'!$C$1:$J$2762,2,FALSE) - VLOOKUP(C2406,'CHAS - Chicago'!$C$1:$J$2762,2,FALSE)</f>
        <v>6110</v>
      </c>
      <c r="E2406" t="s">
        <v>366</v>
      </c>
      <c r="F2406" s="71" t="s">
        <v>508</v>
      </c>
      <c r="G2406" s="71" t="s">
        <v>2848</v>
      </c>
      <c r="H2406" s="71" t="s">
        <v>2789</v>
      </c>
      <c r="I2406" s="71" t="s">
        <v>2772</v>
      </c>
    </row>
    <row r="2407" spans="1:9" ht="29" x14ac:dyDescent="0.35">
      <c r="A2407">
        <v>16</v>
      </c>
      <c r="B2407">
        <v>161</v>
      </c>
      <c r="C2407" t="s">
        <v>2943</v>
      </c>
      <c r="D2407" s="64">
        <f>VLOOKUP(C2407,'CHAS - Cook Co'!$C$1:$J$2762,2,FALSE) - VLOOKUP(C2407,'CHAS - Chicago'!$C$1:$J$2762,2,FALSE)</f>
        <v>1795</v>
      </c>
      <c r="E2407" t="s">
        <v>373</v>
      </c>
      <c r="F2407" s="71" t="s">
        <v>508</v>
      </c>
      <c r="G2407" s="71" t="s">
        <v>2848</v>
      </c>
      <c r="H2407" s="71" t="s">
        <v>2789</v>
      </c>
      <c r="I2407" s="71" t="s">
        <v>2778</v>
      </c>
    </row>
    <row r="2408" spans="1:9" ht="29" x14ac:dyDescent="0.35">
      <c r="A2408">
        <v>16</v>
      </c>
      <c r="B2408">
        <v>162</v>
      </c>
      <c r="C2408" t="s">
        <v>2944</v>
      </c>
      <c r="D2408" s="64">
        <f>VLOOKUP(C2408,'CHAS - Cook Co'!$C$1:$J$2762,2,FALSE) - VLOOKUP(C2408,'CHAS - Chicago'!$C$1:$J$2762,2,FALSE)</f>
        <v>4320</v>
      </c>
      <c r="E2408" t="s">
        <v>373</v>
      </c>
      <c r="F2408" s="71" t="s">
        <v>508</v>
      </c>
      <c r="G2408" s="71" t="s">
        <v>2848</v>
      </c>
      <c r="H2408" s="71" t="s">
        <v>2789</v>
      </c>
      <c r="I2408" s="71" t="s">
        <v>2780</v>
      </c>
    </row>
    <row r="2409" spans="1:9" ht="43.5" x14ac:dyDescent="0.35">
      <c r="A2409">
        <v>16</v>
      </c>
      <c r="B2409">
        <v>163</v>
      </c>
      <c r="C2409" t="s">
        <v>2945</v>
      </c>
      <c r="D2409" s="64">
        <f>VLOOKUP(C2409,'CHAS - Cook Co'!$C$1:$J$2762,2,FALSE) - VLOOKUP(C2409,'CHAS - Chicago'!$C$1:$J$2762,2,FALSE)</f>
        <v>0</v>
      </c>
      <c r="E2409" t="s">
        <v>373</v>
      </c>
      <c r="F2409" s="71" t="s">
        <v>508</v>
      </c>
      <c r="G2409" s="71" t="s">
        <v>2848</v>
      </c>
      <c r="H2409" s="71" t="s">
        <v>2789</v>
      </c>
      <c r="I2409" s="71" t="s">
        <v>2782</v>
      </c>
    </row>
    <row r="2410" spans="1:9" ht="58" x14ac:dyDescent="0.35">
      <c r="A2410">
        <v>16</v>
      </c>
      <c r="B2410">
        <v>164</v>
      </c>
      <c r="C2410" t="s">
        <v>2946</v>
      </c>
      <c r="D2410" s="64">
        <f>VLOOKUP(C2410,'CHAS - Cook Co'!$C$1:$J$2762,2,FALSE) - VLOOKUP(C2410,'CHAS - Chicago'!$C$1:$J$2762,2,FALSE)</f>
        <v>5545</v>
      </c>
      <c r="E2410" t="s">
        <v>366</v>
      </c>
      <c r="F2410" s="71" t="s">
        <v>508</v>
      </c>
      <c r="G2410" s="71" t="s">
        <v>2848</v>
      </c>
      <c r="H2410" s="71" t="s">
        <v>2794</v>
      </c>
      <c r="I2410" s="71" t="s">
        <v>2772</v>
      </c>
    </row>
    <row r="2411" spans="1:9" ht="58" x14ac:dyDescent="0.35">
      <c r="A2411">
        <v>16</v>
      </c>
      <c r="B2411">
        <v>165</v>
      </c>
      <c r="C2411" t="s">
        <v>2947</v>
      </c>
      <c r="D2411" s="64">
        <f>VLOOKUP(C2411,'CHAS - Cook Co'!$C$1:$J$2762,2,FALSE) - VLOOKUP(C2411,'CHAS - Chicago'!$C$1:$J$2762,2,FALSE)</f>
        <v>1465</v>
      </c>
      <c r="E2411" t="s">
        <v>373</v>
      </c>
      <c r="F2411" s="71" t="s">
        <v>508</v>
      </c>
      <c r="G2411" s="71" t="s">
        <v>2848</v>
      </c>
      <c r="H2411" s="71" t="s">
        <v>2794</v>
      </c>
      <c r="I2411" s="71" t="s">
        <v>2778</v>
      </c>
    </row>
    <row r="2412" spans="1:9" ht="58" x14ac:dyDescent="0.35">
      <c r="A2412">
        <v>16</v>
      </c>
      <c r="B2412">
        <v>166</v>
      </c>
      <c r="C2412" t="s">
        <v>2948</v>
      </c>
      <c r="D2412" s="64">
        <f>VLOOKUP(C2412,'CHAS - Cook Co'!$C$1:$J$2762,2,FALSE) - VLOOKUP(C2412,'CHAS - Chicago'!$C$1:$J$2762,2,FALSE)</f>
        <v>4080</v>
      </c>
      <c r="E2412" t="s">
        <v>373</v>
      </c>
      <c r="F2412" s="71" t="s">
        <v>508</v>
      </c>
      <c r="G2412" s="71" t="s">
        <v>2848</v>
      </c>
      <c r="H2412" s="71" t="s">
        <v>2794</v>
      </c>
      <c r="I2412" s="71" t="s">
        <v>2780</v>
      </c>
    </row>
    <row r="2413" spans="1:9" ht="58" x14ac:dyDescent="0.35">
      <c r="A2413">
        <v>16</v>
      </c>
      <c r="B2413">
        <v>167</v>
      </c>
      <c r="C2413" t="s">
        <v>2949</v>
      </c>
      <c r="D2413" s="64">
        <f>VLOOKUP(C2413,'CHAS - Cook Co'!$C$1:$J$2762,2,FALSE) - VLOOKUP(C2413,'CHAS - Chicago'!$C$1:$J$2762,2,FALSE)</f>
        <v>0</v>
      </c>
      <c r="E2413" t="s">
        <v>373</v>
      </c>
      <c r="F2413" s="71" t="s">
        <v>508</v>
      </c>
      <c r="G2413" s="71" t="s">
        <v>2848</v>
      </c>
      <c r="H2413" s="71" t="s">
        <v>2794</v>
      </c>
      <c r="I2413" s="71" t="s">
        <v>2782</v>
      </c>
    </row>
    <row r="2414" spans="1:9" ht="29" x14ac:dyDescent="0.35">
      <c r="A2414">
        <v>16</v>
      </c>
      <c r="B2414">
        <v>168</v>
      </c>
      <c r="C2414" t="s">
        <v>2950</v>
      </c>
      <c r="D2414" s="64">
        <f>VLOOKUP(C2414,'CHAS - Cook Co'!$C$1:$J$2762,2,FALSE) - VLOOKUP(C2414,'CHAS - Chicago'!$C$1:$J$2762,2,FALSE)</f>
        <v>31100</v>
      </c>
      <c r="E2414" t="s">
        <v>366</v>
      </c>
      <c r="F2414" s="71" t="s">
        <v>508</v>
      </c>
      <c r="G2414" s="71" t="s">
        <v>2848</v>
      </c>
      <c r="H2414" s="71" t="s">
        <v>2799</v>
      </c>
      <c r="I2414" s="71" t="s">
        <v>2772</v>
      </c>
    </row>
    <row r="2415" spans="1:9" ht="29" x14ac:dyDescent="0.35">
      <c r="A2415">
        <v>16</v>
      </c>
      <c r="B2415">
        <v>169</v>
      </c>
      <c r="C2415" t="s">
        <v>2951</v>
      </c>
      <c r="D2415" s="64">
        <f>VLOOKUP(C2415,'CHAS - Cook Co'!$C$1:$J$2762,2,FALSE) - VLOOKUP(C2415,'CHAS - Chicago'!$C$1:$J$2762,2,FALSE)</f>
        <v>2400</v>
      </c>
      <c r="E2415" t="s">
        <v>373</v>
      </c>
      <c r="F2415" s="71" t="s">
        <v>508</v>
      </c>
      <c r="G2415" s="71" t="s">
        <v>2848</v>
      </c>
      <c r="H2415" s="71" t="s">
        <v>2799</v>
      </c>
      <c r="I2415" s="71" t="s">
        <v>2778</v>
      </c>
    </row>
    <row r="2416" spans="1:9" ht="29" x14ac:dyDescent="0.35">
      <c r="A2416">
        <v>16</v>
      </c>
      <c r="B2416">
        <v>170</v>
      </c>
      <c r="C2416" t="s">
        <v>2952</v>
      </c>
      <c r="D2416" s="64">
        <f>VLOOKUP(C2416,'CHAS - Cook Co'!$C$1:$J$2762,2,FALSE) - VLOOKUP(C2416,'CHAS - Chicago'!$C$1:$J$2762,2,FALSE)</f>
        <v>28700</v>
      </c>
      <c r="E2416" t="s">
        <v>373</v>
      </c>
      <c r="F2416" s="71" t="s">
        <v>508</v>
      </c>
      <c r="G2416" s="71" t="s">
        <v>2848</v>
      </c>
      <c r="H2416" s="71" t="s">
        <v>2799</v>
      </c>
      <c r="I2416" s="71" t="s">
        <v>2780</v>
      </c>
    </row>
    <row r="2417" spans="1:9" ht="43.5" x14ac:dyDescent="0.35">
      <c r="A2417">
        <v>16</v>
      </c>
      <c r="B2417">
        <v>171</v>
      </c>
      <c r="C2417" t="s">
        <v>2953</v>
      </c>
      <c r="D2417" s="64">
        <f>VLOOKUP(C2417,'CHAS - Cook Co'!$C$1:$J$2762,2,FALSE) - VLOOKUP(C2417,'CHAS - Chicago'!$C$1:$J$2762,2,FALSE)</f>
        <v>0</v>
      </c>
      <c r="E2417" t="s">
        <v>373</v>
      </c>
      <c r="F2417" s="71" t="s">
        <v>508</v>
      </c>
      <c r="G2417" s="71" t="s">
        <v>2848</v>
      </c>
      <c r="H2417" s="71" t="s">
        <v>2799</v>
      </c>
      <c r="I2417" s="71" t="s">
        <v>2782</v>
      </c>
    </row>
    <row r="2418" spans="1:9" ht="29" x14ac:dyDescent="0.35">
      <c r="A2418">
        <v>17</v>
      </c>
      <c r="B2418">
        <v>1</v>
      </c>
      <c r="C2418" t="s">
        <v>2955</v>
      </c>
      <c r="D2418" s="64">
        <f>VLOOKUP(C2418,'CHAS - Cook Co'!$C$1:$J$2762,2,FALSE) - VLOOKUP(C2418,'CHAS - Chicago'!$C$1:$J$2762,2,FALSE)</f>
        <v>12690</v>
      </c>
      <c r="E2418" t="s">
        <v>26</v>
      </c>
      <c r="F2418" s="71" t="s">
        <v>2441</v>
      </c>
      <c r="G2418" s="71" t="s">
        <v>2956</v>
      </c>
    </row>
    <row r="2419" spans="1:9" ht="29" x14ac:dyDescent="0.35">
      <c r="A2419">
        <v>17</v>
      </c>
      <c r="B2419">
        <v>1</v>
      </c>
      <c r="C2419" t="s">
        <v>2954</v>
      </c>
      <c r="D2419" s="64">
        <f>VLOOKUP(C2419,'CHAS - Cook Co'!$C$1:$J$2762,2,FALSE) - VLOOKUP(C2419,'CHAS - Chicago'!$C$1:$J$2762,2,FALSE)</f>
        <v>14620</v>
      </c>
      <c r="E2419" t="s">
        <v>26</v>
      </c>
      <c r="F2419" s="71" t="s">
        <v>2445</v>
      </c>
      <c r="G2419" s="71" t="s">
        <v>2446</v>
      </c>
    </row>
    <row r="2420" spans="1:9" x14ac:dyDescent="0.35">
      <c r="A2420">
        <v>17</v>
      </c>
      <c r="B2420">
        <v>2</v>
      </c>
      <c r="C2420" t="s">
        <v>2959</v>
      </c>
      <c r="D2420" s="64">
        <f>VLOOKUP(C2420,'CHAS - Cook Co'!$C$1:$J$2762,2,FALSE) - VLOOKUP(C2420,'CHAS - Chicago'!$C$1:$J$2762,2,FALSE)</f>
        <v>8755</v>
      </c>
      <c r="E2420" t="s">
        <v>366</v>
      </c>
      <c r="F2420" s="71" t="s">
        <v>2958</v>
      </c>
      <c r="G2420" s="71" t="s">
        <v>2956</v>
      </c>
    </row>
    <row r="2421" spans="1:9" x14ac:dyDescent="0.35">
      <c r="A2421">
        <v>17</v>
      </c>
      <c r="B2421">
        <v>2</v>
      </c>
      <c r="C2421" t="s">
        <v>2957</v>
      </c>
      <c r="D2421" s="64">
        <f>VLOOKUP(C2421,'CHAS - Cook Co'!$C$1:$J$2762,2,FALSE) - VLOOKUP(C2421,'CHAS - Chicago'!$C$1:$J$2762,2,FALSE)</f>
        <v>2705</v>
      </c>
      <c r="E2421" t="s">
        <v>366</v>
      </c>
      <c r="F2421" s="71" t="s">
        <v>2958</v>
      </c>
      <c r="G2421" s="71" t="s">
        <v>2446</v>
      </c>
    </row>
    <row r="2422" spans="1:9" ht="29" x14ac:dyDescent="0.35">
      <c r="A2422">
        <v>17</v>
      </c>
      <c r="B2422">
        <v>3</v>
      </c>
      <c r="C2422" t="s">
        <v>2962</v>
      </c>
      <c r="D2422" s="64">
        <f>VLOOKUP(C2422,'CHAS - Cook Co'!$C$1:$J$2762,2,FALSE) - VLOOKUP(C2422,'CHAS - Chicago'!$C$1:$J$2762,2,FALSE)</f>
        <v>3445</v>
      </c>
      <c r="E2422" t="s">
        <v>373</v>
      </c>
      <c r="F2422" s="71" t="s">
        <v>2958</v>
      </c>
      <c r="G2422" s="71" t="s">
        <v>2963</v>
      </c>
    </row>
    <row r="2423" spans="1:9" ht="29" x14ac:dyDescent="0.35">
      <c r="A2423">
        <v>17</v>
      </c>
      <c r="B2423">
        <v>3</v>
      </c>
      <c r="C2423" t="s">
        <v>2960</v>
      </c>
      <c r="D2423" s="64">
        <f>VLOOKUP(C2423,'CHAS - Cook Co'!$C$1:$J$2762,2,FALSE) - VLOOKUP(C2423,'CHAS - Chicago'!$C$1:$J$2762,2,FALSE)</f>
        <v>360</v>
      </c>
      <c r="E2423" t="s">
        <v>373</v>
      </c>
      <c r="F2423" s="71" t="s">
        <v>2958</v>
      </c>
      <c r="G2423" s="71" t="s">
        <v>2961</v>
      </c>
    </row>
    <row r="2424" spans="1:9" ht="43.5" x14ac:dyDescent="0.35">
      <c r="A2424">
        <v>17</v>
      </c>
      <c r="B2424">
        <v>4</v>
      </c>
      <c r="C2424" t="s">
        <v>2966</v>
      </c>
      <c r="D2424" s="64">
        <f>VLOOKUP(C2424,'CHAS - Cook Co'!$C$1:$J$2762,2,FALSE) - VLOOKUP(C2424,'CHAS - Chicago'!$C$1:$J$2762,2,FALSE)</f>
        <v>2625</v>
      </c>
      <c r="E2424" t="s">
        <v>373</v>
      </c>
      <c r="F2424" s="71" t="s">
        <v>2958</v>
      </c>
      <c r="G2424" s="71" t="s">
        <v>2967</v>
      </c>
    </row>
    <row r="2425" spans="1:9" ht="29" x14ac:dyDescent="0.35">
      <c r="A2425">
        <v>17</v>
      </c>
      <c r="B2425">
        <v>4</v>
      </c>
      <c r="C2425" t="s">
        <v>2964</v>
      </c>
      <c r="D2425" s="64">
        <f>VLOOKUP(C2425,'CHAS - Cook Co'!$C$1:$J$2762,2,FALSE) - VLOOKUP(C2425,'CHAS - Chicago'!$C$1:$J$2762,2,FALSE)</f>
        <v>990</v>
      </c>
      <c r="E2425" t="s">
        <v>373</v>
      </c>
      <c r="F2425" s="71" t="s">
        <v>2958</v>
      </c>
      <c r="G2425" s="71" t="s">
        <v>2965</v>
      </c>
    </row>
    <row r="2426" spans="1:9" ht="43.5" x14ac:dyDescent="0.35">
      <c r="A2426">
        <v>17</v>
      </c>
      <c r="B2426">
        <v>5</v>
      </c>
      <c r="C2426" t="s">
        <v>2970</v>
      </c>
      <c r="D2426" s="64">
        <f>VLOOKUP(C2426,'CHAS - Cook Co'!$C$1:$J$2762,2,FALSE) - VLOOKUP(C2426,'CHAS - Chicago'!$C$1:$J$2762,2,FALSE)</f>
        <v>840</v>
      </c>
      <c r="E2426" t="s">
        <v>373</v>
      </c>
      <c r="F2426" s="71" t="s">
        <v>2958</v>
      </c>
      <c r="G2426" s="71" t="s">
        <v>2971</v>
      </c>
    </row>
    <row r="2427" spans="1:9" ht="29" x14ac:dyDescent="0.35">
      <c r="A2427">
        <v>17</v>
      </c>
      <c r="B2427">
        <v>5</v>
      </c>
      <c r="C2427" t="s">
        <v>2968</v>
      </c>
      <c r="D2427" s="64">
        <f>VLOOKUP(C2427,'CHAS - Cook Co'!$C$1:$J$2762,2,FALSE) - VLOOKUP(C2427,'CHAS - Chicago'!$C$1:$J$2762,2,FALSE)</f>
        <v>1035</v>
      </c>
      <c r="E2427" t="s">
        <v>373</v>
      </c>
      <c r="F2427" s="71" t="s">
        <v>2958</v>
      </c>
      <c r="G2427" s="71" t="s">
        <v>2969</v>
      </c>
    </row>
    <row r="2428" spans="1:9" ht="29" x14ac:dyDescent="0.35">
      <c r="A2428">
        <v>17</v>
      </c>
      <c r="B2428">
        <v>6</v>
      </c>
      <c r="C2428" t="s">
        <v>2972</v>
      </c>
      <c r="D2428" s="64">
        <f>VLOOKUP(C2428,'CHAS - Cook Co'!$C$1:$J$2762,2,FALSE) - VLOOKUP(C2428,'CHAS - Chicago'!$C$1:$J$2762,2,FALSE)</f>
        <v>1850</v>
      </c>
      <c r="E2428" t="s">
        <v>373</v>
      </c>
      <c r="F2428" s="71" t="s">
        <v>2958</v>
      </c>
      <c r="G2428" s="71" t="s">
        <v>2973</v>
      </c>
    </row>
    <row r="2429" spans="1:9" x14ac:dyDescent="0.35">
      <c r="A2429">
        <v>17</v>
      </c>
      <c r="B2429">
        <v>6</v>
      </c>
      <c r="C2429" t="s">
        <v>2974</v>
      </c>
      <c r="D2429" s="64">
        <f>VLOOKUP(C2429,'CHAS - Cook Co'!$C$1:$J$2762,2,FALSE) - VLOOKUP(C2429,'CHAS - Chicago'!$C$1:$J$2762,2,FALSE)</f>
        <v>315</v>
      </c>
      <c r="E2429" t="s">
        <v>373</v>
      </c>
      <c r="F2429" s="71" t="s">
        <v>2958</v>
      </c>
      <c r="G2429" s="71" t="s">
        <v>2975</v>
      </c>
    </row>
    <row r="2430" spans="1:9" x14ac:dyDescent="0.35">
      <c r="A2430">
        <v>17</v>
      </c>
      <c r="B2430">
        <v>7</v>
      </c>
      <c r="C2430" t="s">
        <v>2976</v>
      </c>
      <c r="D2430" s="64">
        <f>VLOOKUP(C2430,'CHAS - Cook Co'!$C$1:$J$2762,2,FALSE) - VLOOKUP(C2430,'CHAS - Chicago'!$C$1:$J$2762,2,FALSE)</f>
        <v>1340</v>
      </c>
      <c r="E2430" t="s">
        <v>366</v>
      </c>
      <c r="F2430" s="71" t="s">
        <v>2977</v>
      </c>
      <c r="G2430" s="71" t="s">
        <v>2956</v>
      </c>
    </row>
    <row r="2431" spans="1:9" x14ac:dyDescent="0.35">
      <c r="A2431">
        <v>17</v>
      </c>
      <c r="B2431">
        <v>7</v>
      </c>
      <c r="C2431" t="s">
        <v>2978</v>
      </c>
      <c r="D2431" s="64">
        <f>VLOOKUP(C2431,'CHAS - Cook Co'!$C$1:$J$2762,2,FALSE) - VLOOKUP(C2431,'CHAS - Chicago'!$C$1:$J$2762,2,FALSE)</f>
        <v>3150</v>
      </c>
      <c r="E2431" t="s">
        <v>366</v>
      </c>
      <c r="F2431" s="71" t="s">
        <v>2977</v>
      </c>
      <c r="G2431" s="71" t="s">
        <v>2446</v>
      </c>
    </row>
    <row r="2432" spans="1:9" ht="29" x14ac:dyDescent="0.35">
      <c r="A2432">
        <v>17</v>
      </c>
      <c r="B2432">
        <v>8</v>
      </c>
      <c r="C2432" t="s">
        <v>2980</v>
      </c>
      <c r="D2432" s="64">
        <f>VLOOKUP(C2432,'CHAS - Cook Co'!$C$1:$J$2762,2,FALSE) - VLOOKUP(C2432,'CHAS - Chicago'!$C$1:$J$2762,2,FALSE)</f>
        <v>915</v>
      </c>
      <c r="E2432" t="s">
        <v>373</v>
      </c>
      <c r="F2432" s="71" t="s">
        <v>2977</v>
      </c>
      <c r="G2432" s="71" t="s">
        <v>2963</v>
      </c>
    </row>
    <row r="2433" spans="1:7" ht="29" x14ac:dyDescent="0.35">
      <c r="A2433">
        <v>17</v>
      </c>
      <c r="B2433">
        <v>8</v>
      </c>
      <c r="C2433" t="s">
        <v>2979</v>
      </c>
      <c r="D2433" s="64">
        <f>VLOOKUP(C2433,'CHAS - Cook Co'!$C$1:$J$2762,2,FALSE) - VLOOKUP(C2433,'CHAS - Chicago'!$C$1:$J$2762,2,FALSE)</f>
        <v>320</v>
      </c>
      <c r="E2433" t="s">
        <v>373</v>
      </c>
      <c r="F2433" s="71" t="s">
        <v>2977</v>
      </c>
      <c r="G2433" s="71" t="s">
        <v>2961</v>
      </c>
    </row>
    <row r="2434" spans="1:7" ht="43.5" x14ac:dyDescent="0.35">
      <c r="A2434">
        <v>17</v>
      </c>
      <c r="B2434">
        <v>9</v>
      </c>
      <c r="C2434" t="s">
        <v>2981</v>
      </c>
      <c r="D2434" s="64">
        <f>VLOOKUP(C2434,'CHAS - Cook Co'!$C$1:$J$2762,2,FALSE) - VLOOKUP(C2434,'CHAS - Chicago'!$C$1:$J$2762,2,FALSE)</f>
        <v>275</v>
      </c>
      <c r="E2434" t="s">
        <v>373</v>
      </c>
      <c r="F2434" s="71" t="s">
        <v>2977</v>
      </c>
      <c r="G2434" s="71" t="s">
        <v>2967</v>
      </c>
    </row>
    <row r="2435" spans="1:7" ht="29" x14ac:dyDescent="0.35">
      <c r="A2435">
        <v>17</v>
      </c>
      <c r="B2435">
        <v>9</v>
      </c>
      <c r="C2435" t="s">
        <v>2982</v>
      </c>
      <c r="D2435" s="64">
        <f>VLOOKUP(C2435,'CHAS - Cook Co'!$C$1:$J$2762,2,FALSE) - VLOOKUP(C2435,'CHAS - Chicago'!$C$1:$J$2762,2,FALSE)</f>
        <v>1750</v>
      </c>
      <c r="E2435" t="s">
        <v>373</v>
      </c>
      <c r="F2435" s="71" t="s">
        <v>2977</v>
      </c>
      <c r="G2435" s="71" t="s">
        <v>2965</v>
      </c>
    </row>
    <row r="2436" spans="1:7" ht="43.5" x14ac:dyDescent="0.35">
      <c r="A2436">
        <v>17</v>
      </c>
      <c r="B2436">
        <v>10</v>
      </c>
      <c r="C2436" t="s">
        <v>2983</v>
      </c>
      <c r="D2436" s="64">
        <f>VLOOKUP(C2436,'CHAS - Cook Co'!$C$1:$J$2762,2,FALSE) - VLOOKUP(C2436,'CHAS - Chicago'!$C$1:$J$2762,2,FALSE)</f>
        <v>45</v>
      </c>
      <c r="E2436" t="s">
        <v>373</v>
      </c>
      <c r="F2436" s="71" t="s">
        <v>2977</v>
      </c>
      <c r="G2436" s="71" t="s">
        <v>2971</v>
      </c>
    </row>
    <row r="2437" spans="1:7" ht="29" x14ac:dyDescent="0.35">
      <c r="A2437">
        <v>17</v>
      </c>
      <c r="B2437">
        <v>10</v>
      </c>
      <c r="C2437" t="s">
        <v>2984</v>
      </c>
      <c r="D2437" s="64">
        <f>VLOOKUP(C2437,'CHAS - Cook Co'!$C$1:$J$2762,2,FALSE) - VLOOKUP(C2437,'CHAS - Chicago'!$C$1:$J$2762,2,FALSE)</f>
        <v>955</v>
      </c>
      <c r="E2437" t="s">
        <v>373</v>
      </c>
      <c r="F2437" s="71" t="s">
        <v>2977</v>
      </c>
      <c r="G2437" s="71" t="s">
        <v>2969</v>
      </c>
    </row>
    <row r="2438" spans="1:7" ht="29" x14ac:dyDescent="0.35">
      <c r="A2438">
        <v>17</v>
      </c>
      <c r="B2438">
        <v>11</v>
      </c>
      <c r="C2438" t="s">
        <v>2985</v>
      </c>
      <c r="D2438" s="64">
        <f>VLOOKUP(C2438,'CHAS - Cook Co'!$C$1:$J$2762,2,FALSE) - VLOOKUP(C2438,'CHAS - Chicago'!$C$1:$J$2762,2,FALSE)</f>
        <v>100</v>
      </c>
      <c r="E2438" t="s">
        <v>373</v>
      </c>
      <c r="F2438" s="71" t="s">
        <v>2977</v>
      </c>
      <c r="G2438" s="71" t="s">
        <v>2973</v>
      </c>
    </row>
    <row r="2439" spans="1:7" x14ac:dyDescent="0.35">
      <c r="A2439">
        <v>17</v>
      </c>
      <c r="B2439">
        <v>11</v>
      </c>
      <c r="C2439" t="s">
        <v>2986</v>
      </c>
      <c r="D2439" s="64">
        <f>VLOOKUP(C2439,'CHAS - Cook Co'!$C$1:$J$2762,2,FALSE) - VLOOKUP(C2439,'CHAS - Chicago'!$C$1:$J$2762,2,FALSE)</f>
        <v>115</v>
      </c>
      <c r="E2439" t="s">
        <v>373</v>
      </c>
      <c r="F2439" s="71" t="s">
        <v>2977</v>
      </c>
      <c r="G2439" s="71" t="s">
        <v>2975</v>
      </c>
    </row>
    <row r="2440" spans="1:7" x14ac:dyDescent="0.35">
      <c r="A2440">
        <v>17</v>
      </c>
      <c r="B2440">
        <v>12</v>
      </c>
      <c r="C2440" t="s">
        <v>2987</v>
      </c>
      <c r="D2440" s="64">
        <f>VLOOKUP(C2440,'CHAS - Cook Co'!$C$1:$J$2762,2,FALSE) - VLOOKUP(C2440,'CHAS - Chicago'!$C$1:$J$2762,2,FALSE)</f>
        <v>2245</v>
      </c>
      <c r="E2440" t="s">
        <v>366</v>
      </c>
      <c r="F2440" s="71" t="s">
        <v>2988</v>
      </c>
      <c r="G2440" s="71" t="s">
        <v>2956</v>
      </c>
    </row>
    <row r="2441" spans="1:7" x14ac:dyDescent="0.35">
      <c r="A2441">
        <v>17</v>
      </c>
      <c r="B2441">
        <v>12</v>
      </c>
      <c r="C2441" t="s">
        <v>2989</v>
      </c>
      <c r="D2441" s="64">
        <f>VLOOKUP(C2441,'CHAS - Cook Co'!$C$1:$J$2762,2,FALSE) - VLOOKUP(C2441,'CHAS - Chicago'!$C$1:$J$2762,2,FALSE)</f>
        <v>8585</v>
      </c>
      <c r="E2441" t="s">
        <v>366</v>
      </c>
      <c r="F2441" s="71" t="s">
        <v>2988</v>
      </c>
      <c r="G2441" s="71" t="s">
        <v>2446</v>
      </c>
    </row>
    <row r="2442" spans="1:7" ht="29" x14ac:dyDescent="0.35">
      <c r="A2442">
        <v>17</v>
      </c>
      <c r="B2442">
        <v>13</v>
      </c>
      <c r="C2442" t="s">
        <v>2990</v>
      </c>
      <c r="D2442" s="64">
        <f>VLOOKUP(C2442,'CHAS - Cook Co'!$C$1:$J$2762,2,FALSE) - VLOOKUP(C2442,'CHAS - Chicago'!$C$1:$J$2762,2,FALSE)</f>
        <v>1220</v>
      </c>
      <c r="E2442" t="s">
        <v>373</v>
      </c>
      <c r="F2442" s="71" t="s">
        <v>2988</v>
      </c>
      <c r="G2442" s="71" t="s">
        <v>2963</v>
      </c>
    </row>
    <row r="2443" spans="1:7" ht="29" x14ac:dyDescent="0.35">
      <c r="A2443">
        <v>17</v>
      </c>
      <c r="B2443">
        <v>13</v>
      </c>
      <c r="C2443" t="s">
        <v>2991</v>
      </c>
      <c r="D2443" s="64">
        <f>VLOOKUP(C2443,'CHAS - Cook Co'!$C$1:$J$2762,2,FALSE) - VLOOKUP(C2443,'CHAS - Chicago'!$C$1:$J$2762,2,FALSE)</f>
        <v>445</v>
      </c>
      <c r="E2443" t="s">
        <v>373</v>
      </c>
      <c r="F2443" s="71" t="s">
        <v>2988</v>
      </c>
      <c r="G2443" s="71" t="s">
        <v>2961</v>
      </c>
    </row>
    <row r="2444" spans="1:7" ht="43.5" x14ac:dyDescent="0.35">
      <c r="A2444">
        <v>17</v>
      </c>
      <c r="B2444">
        <v>14</v>
      </c>
      <c r="C2444" t="s">
        <v>2993</v>
      </c>
      <c r="D2444" s="64">
        <f>VLOOKUP(C2444,'CHAS - Cook Co'!$C$1:$J$2762,2,FALSE) - VLOOKUP(C2444,'CHAS - Chicago'!$C$1:$J$2762,2,FALSE)</f>
        <v>475</v>
      </c>
      <c r="E2444" t="s">
        <v>373</v>
      </c>
      <c r="F2444" s="71" t="s">
        <v>2988</v>
      </c>
      <c r="G2444" s="71" t="s">
        <v>2967</v>
      </c>
    </row>
    <row r="2445" spans="1:7" ht="29" x14ac:dyDescent="0.35">
      <c r="A2445">
        <v>17</v>
      </c>
      <c r="B2445">
        <v>14</v>
      </c>
      <c r="C2445" t="s">
        <v>2992</v>
      </c>
      <c r="D2445" s="64">
        <f>VLOOKUP(C2445,'CHAS - Cook Co'!$C$1:$J$2762,2,FALSE) - VLOOKUP(C2445,'CHAS - Chicago'!$C$1:$J$2762,2,FALSE)</f>
        <v>3330</v>
      </c>
      <c r="E2445" t="s">
        <v>373</v>
      </c>
      <c r="F2445" s="71" t="s">
        <v>2988</v>
      </c>
      <c r="G2445" s="71" t="s">
        <v>2965</v>
      </c>
    </row>
    <row r="2446" spans="1:7" ht="43.5" x14ac:dyDescent="0.35">
      <c r="A2446">
        <v>17</v>
      </c>
      <c r="B2446">
        <v>15</v>
      </c>
      <c r="C2446" t="s">
        <v>2995</v>
      </c>
      <c r="D2446" s="64">
        <f>VLOOKUP(C2446,'CHAS - Cook Co'!$C$1:$J$2762,2,FALSE) - VLOOKUP(C2446,'CHAS - Chicago'!$C$1:$J$2762,2,FALSE)</f>
        <v>200</v>
      </c>
      <c r="E2446" t="s">
        <v>373</v>
      </c>
      <c r="F2446" s="71" t="s">
        <v>2988</v>
      </c>
      <c r="G2446" s="71" t="s">
        <v>2971</v>
      </c>
    </row>
    <row r="2447" spans="1:7" ht="29" x14ac:dyDescent="0.35">
      <c r="A2447">
        <v>17</v>
      </c>
      <c r="B2447">
        <v>15</v>
      </c>
      <c r="C2447" t="s">
        <v>2994</v>
      </c>
      <c r="D2447" s="64">
        <f>VLOOKUP(C2447,'CHAS - Cook Co'!$C$1:$J$2762,2,FALSE) - VLOOKUP(C2447,'CHAS - Chicago'!$C$1:$J$2762,2,FALSE)</f>
        <v>3465</v>
      </c>
      <c r="E2447" t="s">
        <v>373</v>
      </c>
      <c r="F2447" s="71" t="s">
        <v>2988</v>
      </c>
      <c r="G2447" s="71" t="s">
        <v>2969</v>
      </c>
    </row>
    <row r="2448" spans="1:7" ht="29" x14ac:dyDescent="0.35">
      <c r="A2448">
        <v>17</v>
      </c>
      <c r="B2448">
        <v>16</v>
      </c>
      <c r="C2448" t="s">
        <v>2996</v>
      </c>
      <c r="D2448" s="64">
        <f>VLOOKUP(C2448,'CHAS - Cook Co'!$C$1:$J$2762,2,FALSE) - VLOOKUP(C2448,'CHAS - Chicago'!$C$1:$J$2762,2,FALSE)</f>
        <v>350</v>
      </c>
      <c r="E2448" t="s">
        <v>373</v>
      </c>
      <c r="F2448" s="71" t="s">
        <v>2988</v>
      </c>
      <c r="G2448" s="71" t="s">
        <v>2973</v>
      </c>
    </row>
    <row r="2449" spans="1:9" x14ac:dyDescent="0.35">
      <c r="A2449">
        <v>17</v>
      </c>
      <c r="B2449">
        <v>16</v>
      </c>
      <c r="C2449" t="s">
        <v>2997</v>
      </c>
      <c r="D2449" s="64">
        <f>VLOOKUP(C2449,'CHAS - Cook Co'!$C$1:$J$2762,2,FALSE) - VLOOKUP(C2449,'CHAS - Chicago'!$C$1:$J$2762,2,FALSE)</f>
        <v>1350</v>
      </c>
      <c r="E2449" t="s">
        <v>373</v>
      </c>
      <c r="F2449" s="71" t="s">
        <v>2988</v>
      </c>
      <c r="G2449" s="71" t="s">
        <v>2975</v>
      </c>
    </row>
    <row r="2450" spans="1:9" ht="29" x14ac:dyDescent="0.35">
      <c r="A2450">
        <v>17</v>
      </c>
      <c r="B2450">
        <v>17</v>
      </c>
      <c r="C2450" t="s">
        <v>3000</v>
      </c>
      <c r="D2450" s="64">
        <f>VLOOKUP(C2450,'CHAS - Cook Co'!$C$1:$J$2762,2,FALSE) - VLOOKUP(C2450,'CHAS - Chicago'!$C$1:$J$2762,2,FALSE)</f>
        <v>345</v>
      </c>
      <c r="E2450" t="s">
        <v>366</v>
      </c>
      <c r="F2450" s="71" t="s">
        <v>2999</v>
      </c>
      <c r="G2450" s="71" t="s">
        <v>2956</v>
      </c>
    </row>
    <row r="2451" spans="1:9" ht="29" x14ac:dyDescent="0.35">
      <c r="A2451">
        <v>17</v>
      </c>
      <c r="B2451">
        <v>17</v>
      </c>
      <c r="C2451" t="s">
        <v>2998</v>
      </c>
      <c r="D2451" s="64">
        <f>VLOOKUP(C2451,'CHAS - Cook Co'!$C$1:$J$2762,2,FALSE) - VLOOKUP(C2451,'CHAS - Chicago'!$C$1:$J$2762,2,FALSE)</f>
        <v>180</v>
      </c>
      <c r="E2451" t="s">
        <v>366</v>
      </c>
      <c r="F2451" s="71" t="s">
        <v>2999</v>
      </c>
      <c r="G2451" s="71" t="s">
        <v>2446</v>
      </c>
    </row>
    <row r="2452" spans="1:9" ht="29" x14ac:dyDescent="0.35">
      <c r="A2452">
        <v>17</v>
      </c>
      <c r="B2452">
        <v>18</v>
      </c>
      <c r="C2452" t="s">
        <v>3002</v>
      </c>
      <c r="D2452" s="64">
        <f>VLOOKUP(C2452,'CHAS - Cook Co'!$C$1:$J$2762,2,FALSE) - VLOOKUP(C2452,'CHAS - Chicago'!$C$1:$J$2762,2,FALSE)</f>
        <v>345</v>
      </c>
      <c r="E2452" t="s">
        <v>373</v>
      </c>
      <c r="F2452" s="71" t="s">
        <v>2999</v>
      </c>
      <c r="G2452" s="71" t="s">
        <v>2963</v>
      </c>
    </row>
    <row r="2453" spans="1:9" ht="29" x14ac:dyDescent="0.35">
      <c r="A2453">
        <v>17</v>
      </c>
      <c r="B2453">
        <v>18</v>
      </c>
      <c r="C2453" t="s">
        <v>3001</v>
      </c>
      <c r="D2453" s="64">
        <f>VLOOKUP(C2453,'CHAS - Cook Co'!$C$1:$J$2762,2,FALSE) - VLOOKUP(C2453,'CHAS - Chicago'!$C$1:$J$2762,2,FALSE)</f>
        <v>10</v>
      </c>
      <c r="E2453" t="s">
        <v>373</v>
      </c>
      <c r="F2453" s="71" t="s">
        <v>2999</v>
      </c>
      <c r="G2453" s="71" t="s">
        <v>2961</v>
      </c>
    </row>
    <row r="2454" spans="1:9" ht="43.5" x14ac:dyDescent="0.35">
      <c r="A2454">
        <v>17</v>
      </c>
      <c r="B2454">
        <v>19</v>
      </c>
      <c r="C2454" t="s">
        <v>3003</v>
      </c>
      <c r="D2454" s="64">
        <f>VLOOKUP(C2454,'CHAS - Cook Co'!$C$1:$J$2762,2,FALSE) - VLOOKUP(C2454,'CHAS - Chicago'!$C$1:$J$2762,2,FALSE)</f>
        <v>0</v>
      </c>
      <c r="E2454" t="s">
        <v>373</v>
      </c>
      <c r="F2454" s="71" t="s">
        <v>2999</v>
      </c>
      <c r="G2454" s="71" t="s">
        <v>2967</v>
      </c>
    </row>
    <row r="2455" spans="1:9" ht="29" x14ac:dyDescent="0.35">
      <c r="A2455">
        <v>17</v>
      </c>
      <c r="B2455">
        <v>19</v>
      </c>
      <c r="C2455" t="s">
        <v>3004</v>
      </c>
      <c r="D2455" s="64">
        <f>VLOOKUP(C2455,'CHAS - Cook Co'!$C$1:$J$2762,2,FALSE) - VLOOKUP(C2455,'CHAS - Chicago'!$C$1:$J$2762,2,FALSE)</f>
        <v>150</v>
      </c>
      <c r="E2455" t="s">
        <v>373</v>
      </c>
      <c r="F2455" s="71" t="s">
        <v>2999</v>
      </c>
      <c r="G2455" s="71" t="s">
        <v>2965</v>
      </c>
    </row>
    <row r="2456" spans="1:9" ht="43.5" x14ac:dyDescent="0.35">
      <c r="A2456">
        <v>17</v>
      </c>
      <c r="B2456">
        <v>20</v>
      </c>
      <c r="C2456" t="s">
        <v>3005</v>
      </c>
      <c r="D2456" s="64">
        <f>VLOOKUP(C2456,'CHAS - Cook Co'!$C$1:$J$2762,2,FALSE) - VLOOKUP(C2456,'CHAS - Chicago'!$C$1:$J$2762,2,FALSE)</f>
        <v>0</v>
      </c>
      <c r="E2456" t="s">
        <v>373</v>
      </c>
      <c r="F2456" s="71" t="s">
        <v>2999</v>
      </c>
      <c r="G2456" s="71" t="s">
        <v>2971</v>
      </c>
    </row>
    <row r="2457" spans="1:9" ht="29" x14ac:dyDescent="0.35">
      <c r="A2457">
        <v>17</v>
      </c>
      <c r="B2457">
        <v>20</v>
      </c>
      <c r="C2457" t="s">
        <v>3006</v>
      </c>
      <c r="D2457" s="64">
        <f>VLOOKUP(C2457,'CHAS - Cook Co'!$C$1:$J$2762,2,FALSE) - VLOOKUP(C2457,'CHAS - Chicago'!$C$1:$J$2762,2,FALSE)</f>
        <v>15</v>
      </c>
      <c r="E2457" t="s">
        <v>373</v>
      </c>
      <c r="F2457" s="71" t="s">
        <v>2999</v>
      </c>
      <c r="G2457" s="71" t="s">
        <v>2969</v>
      </c>
    </row>
    <row r="2458" spans="1:9" ht="29" x14ac:dyDescent="0.35">
      <c r="A2458">
        <v>17</v>
      </c>
      <c r="B2458">
        <v>21</v>
      </c>
      <c r="C2458" t="s">
        <v>3008</v>
      </c>
      <c r="D2458" s="64">
        <f>VLOOKUP(C2458,'CHAS - Cook Co'!$C$1:$J$2762,2,FALSE) - VLOOKUP(C2458,'CHAS - Chicago'!$C$1:$J$2762,2,FALSE)</f>
        <v>0</v>
      </c>
      <c r="E2458" t="s">
        <v>373</v>
      </c>
      <c r="F2458" s="71" t="s">
        <v>2999</v>
      </c>
      <c r="G2458" s="71" t="s">
        <v>2973</v>
      </c>
    </row>
    <row r="2459" spans="1:9" ht="29" x14ac:dyDescent="0.35">
      <c r="A2459">
        <v>17</v>
      </c>
      <c r="B2459">
        <v>21</v>
      </c>
      <c r="C2459" t="s">
        <v>3007</v>
      </c>
      <c r="D2459" s="64">
        <f>VLOOKUP(C2459,'CHAS - Cook Co'!$C$1:$J$2762,2,FALSE) - VLOOKUP(C2459,'CHAS - Chicago'!$C$1:$J$2762,2,FALSE)</f>
        <v>0</v>
      </c>
      <c r="E2459" t="s">
        <v>373</v>
      </c>
      <c r="F2459" s="71" t="s">
        <v>2999</v>
      </c>
      <c r="G2459" s="71" t="s">
        <v>2975</v>
      </c>
    </row>
    <row r="2460" spans="1:9" ht="29" x14ac:dyDescent="0.35">
      <c r="A2460">
        <v>18</v>
      </c>
      <c r="B2460">
        <v>1</v>
      </c>
      <c r="C2460" t="s">
        <v>3012</v>
      </c>
      <c r="D2460" s="64">
        <f>VLOOKUP(C2460,'CHAS - Cook Co'!$C$1:$J$2762,2,FALSE) - VLOOKUP(C2460,'CHAS - Chicago'!$C$1:$J$2762,2,FALSE)</f>
        <v>426740</v>
      </c>
      <c r="E2460" t="s">
        <v>26</v>
      </c>
      <c r="F2460" s="71" t="s">
        <v>3013</v>
      </c>
      <c r="G2460" s="71" t="s">
        <v>3011</v>
      </c>
      <c r="H2460" s="71" t="s">
        <v>2502</v>
      </c>
      <c r="I2460" s="71" t="s">
        <v>2330</v>
      </c>
    </row>
    <row r="2461" spans="1:9" ht="29" x14ac:dyDescent="0.35">
      <c r="A2461">
        <v>18</v>
      </c>
      <c r="B2461">
        <v>1</v>
      </c>
      <c r="C2461" t="s">
        <v>3009</v>
      </c>
      <c r="D2461" s="64">
        <f>VLOOKUP(C2461,'CHAS - Cook Co'!$C$1:$J$2762,2,FALSE) - VLOOKUP(C2461,'CHAS - Chicago'!$C$1:$J$2762,2,FALSE)</f>
        <v>218540</v>
      </c>
      <c r="E2461" t="s">
        <v>26</v>
      </c>
      <c r="F2461" s="71" t="s">
        <v>3010</v>
      </c>
      <c r="G2461" s="71" t="s">
        <v>3011</v>
      </c>
      <c r="H2461" s="71" t="s">
        <v>2502</v>
      </c>
      <c r="I2461" s="71" t="s">
        <v>2330</v>
      </c>
    </row>
    <row r="2462" spans="1:9" x14ac:dyDescent="0.35">
      <c r="A2462">
        <v>18</v>
      </c>
      <c r="B2462">
        <v>1</v>
      </c>
      <c r="C2462" t="s">
        <v>3014</v>
      </c>
      <c r="D2462" s="64">
        <f>VLOOKUP(C2462,'CHAS - Cook Co'!$C$1:$J$2762,2,FALSE) - VLOOKUP(C2462,'CHAS - Chicago'!$C$1:$J$2762,2,FALSE)</f>
        <v>263750</v>
      </c>
      <c r="E2462" t="s">
        <v>26</v>
      </c>
      <c r="F2462" s="71" t="s">
        <v>3015</v>
      </c>
      <c r="G2462" s="71" t="s">
        <v>3011</v>
      </c>
      <c r="H2462" s="71" t="s">
        <v>2446</v>
      </c>
      <c r="I2462" s="71" t="s">
        <v>2330</v>
      </c>
    </row>
    <row r="2463" spans="1:9" ht="29" x14ac:dyDescent="0.35">
      <c r="A2463">
        <v>18</v>
      </c>
      <c r="B2463">
        <v>2</v>
      </c>
      <c r="C2463" t="s">
        <v>3019</v>
      </c>
      <c r="D2463" s="64">
        <f>VLOOKUP(C2463,'CHAS - Cook Co'!$C$1:$J$2762,2,FALSE) - VLOOKUP(C2463,'CHAS - Chicago'!$C$1:$J$2762,2,FALSE)</f>
        <v>364650</v>
      </c>
      <c r="E2463" t="s">
        <v>366</v>
      </c>
      <c r="F2463" s="71" t="s">
        <v>3020</v>
      </c>
      <c r="G2463" s="71" t="s">
        <v>3017</v>
      </c>
      <c r="H2463" s="71" t="s">
        <v>2502</v>
      </c>
      <c r="I2463" s="71" t="s">
        <v>363</v>
      </c>
    </row>
    <row r="2464" spans="1:9" ht="29" x14ac:dyDescent="0.35">
      <c r="A2464">
        <v>18</v>
      </c>
      <c r="B2464">
        <v>2</v>
      </c>
      <c r="C2464" t="s">
        <v>3016</v>
      </c>
      <c r="D2464" s="64">
        <f>VLOOKUP(C2464,'CHAS - Cook Co'!$C$1:$J$2762,2,FALSE) - VLOOKUP(C2464,'CHAS - Chicago'!$C$1:$J$2762,2,FALSE)</f>
        <v>174260</v>
      </c>
      <c r="E2464" t="s">
        <v>366</v>
      </c>
      <c r="F2464" s="71" t="s">
        <v>2510</v>
      </c>
      <c r="G2464" s="71" t="s">
        <v>3017</v>
      </c>
      <c r="H2464" s="71" t="s">
        <v>2502</v>
      </c>
      <c r="I2464" s="71" t="s">
        <v>363</v>
      </c>
    </row>
    <row r="2465" spans="1:9" ht="29" x14ac:dyDescent="0.35">
      <c r="A2465">
        <v>18</v>
      </c>
      <c r="B2465">
        <v>2</v>
      </c>
      <c r="C2465" t="s">
        <v>3018</v>
      </c>
      <c r="D2465" s="64">
        <f>VLOOKUP(C2465,'CHAS - Cook Co'!$C$1:$J$2762,2,FALSE) - VLOOKUP(C2465,'CHAS - Chicago'!$C$1:$J$2762,2,FALSE)</f>
        <v>67715</v>
      </c>
      <c r="E2465" t="s">
        <v>366</v>
      </c>
      <c r="F2465" s="71" t="s">
        <v>508</v>
      </c>
      <c r="G2465" s="71" t="s">
        <v>3017</v>
      </c>
      <c r="H2465" s="71" t="s">
        <v>2446</v>
      </c>
      <c r="I2465" s="71" t="s">
        <v>363</v>
      </c>
    </row>
    <row r="2466" spans="1:9" ht="29" x14ac:dyDescent="0.35">
      <c r="A2466">
        <v>18</v>
      </c>
      <c r="B2466">
        <v>3</v>
      </c>
      <c r="C2466" t="s">
        <v>3021</v>
      </c>
      <c r="D2466" s="64">
        <f>VLOOKUP(C2466,'CHAS - Cook Co'!$C$1:$J$2762,2,FALSE) - VLOOKUP(C2466,'CHAS - Chicago'!$C$1:$J$2762,2,FALSE)</f>
        <v>85045</v>
      </c>
      <c r="E2466" t="s">
        <v>366</v>
      </c>
      <c r="F2466" s="71" t="s">
        <v>3020</v>
      </c>
      <c r="G2466" s="71" t="s">
        <v>3017</v>
      </c>
      <c r="H2466" s="71" t="s">
        <v>3022</v>
      </c>
      <c r="I2466" s="71" t="s">
        <v>363</v>
      </c>
    </row>
    <row r="2467" spans="1:9" ht="29" x14ac:dyDescent="0.35">
      <c r="A2467">
        <v>18</v>
      </c>
      <c r="B2467">
        <v>3</v>
      </c>
      <c r="C2467" t="s">
        <v>3023</v>
      </c>
      <c r="D2467" s="64">
        <f>VLOOKUP(C2467,'CHAS - Cook Co'!$C$1:$J$2762,2,FALSE) - VLOOKUP(C2467,'CHAS - Chicago'!$C$1:$J$2762,2,FALSE)</f>
        <v>41650</v>
      </c>
      <c r="E2467" t="s">
        <v>366</v>
      </c>
      <c r="F2467" s="71" t="s">
        <v>2510</v>
      </c>
      <c r="G2467" s="71" t="s">
        <v>3017</v>
      </c>
      <c r="H2467" s="71" t="s">
        <v>3022</v>
      </c>
      <c r="I2467" s="71" t="s">
        <v>363</v>
      </c>
    </row>
    <row r="2468" spans="1:9" ht="29" x14ac:dyDescent="0.35">
      <c r="A2468">
        <v>18</v>
      </c>
      <c r="B2468">
        <v>3</v>
      </c>
      <c r="C2468" t="s">
        <v>3024</v>
      </c>
      <c r="D2468" s="64">
        <f>VLOOKUP(C2468,'CHAS - Cook Co'!$C$1:$J$2762,2,FALSE) - VLOOKUP(C2468,'CHAS - Chicago'!$C$1:$J$2762,2,FALSE)</f>
        <v>10540</v>
      </c>
      <c r="E2468" t="s">
        <v>366</v>
      </c>
      <c r="F2468" s="71" t="s">
        <v>508</v>
      </c>
      <c r="G2468" s="71" t="s">
        <v>3017</v>
      </c>
      <c r="H2468" s="71" t="s">
        <v>2456</v>
      </c>
      <c r="I2468" s="71" t="s">
        <v>363</v>
      </c>
    </row>
    <row r="2469" spans="1:9" ht="29" x14ac:dyDescent="0.35">
      <c r="A2469">
        <v>18</v>
      </c>
      <c r="B2469">
        <v>4</v>
      </c>
      <c r="C2469" t="s">
        <v>3025</v>
      </c>
      <c r="D2469" s="64">
        <f>VLOOKUP(C2469,'CHAS - Cook Co'!$C$1:$J$2762,2,FALSE) - VLOOKUP(C2469,'CHAS - Chicago'!$C$1:$J$2762,2,FALSE)</f>
        <v>8770</v>
      </c>
      <c r="E2469" t="s">
        <v>373</v>
      </c>
      <c r="F2469" s="71" t="s">
        <v>3020</v>
      </c>
      <c r="G2469" s="71" t="s">
        <v>3017</v>
      </c>
      <c r="H2469" s="71" t="s">
        <v>3022</v>
      </c>
      <c r="I2469" s="71" t="s">
        <v>371</v>
      </c>
    </row>
    <row r="2470" spans="1:9" ht="29" x14ac:dyDescent="0.35">
      <c r="A2470">
        <v>18</v>
      </c>
      <c r="B2470">
        <v>4</v>
      </c>
      <c r="C2470" t="s">
        <v>3026</v>
      </c>
      <c r="D2470" s="64">
        <f>VLOOKUP(C2470,'CHAS - Cook Co'!$C$1:$J$2762,2,FALSE) - VLOOKUP(C2470,'CHAS - Chicago'!$C$1:$J$2762,2,FALSE)</f>
        <v>7635</v>
      </c>
      <c r="E2470" t="s">
        <v>373</v>
      </c>
      <c r="F2470" s="71" t="s">
        <v>2510</v>
      </c>
      <c r="G2470" s="71" t="s">
        <v>3017</v>
      </c>
      <c r="H2470" s="71" t="s">
        <v>3022</v>
      </c>
      <c r="I2470" s="71" t="s">
        <v>371</v>
      </c>
    </row>
    <row r="2471" spans="1:9" ht="29" x14ac:dyDescent="0.35">
      <c r="A2471">
        <v>18</v>
      </c>
      <c r="B2471">
        <v>4</v>
      </c>
      <c r="C2471" t="s">
        <v>3027</v>
      </c>
      <c r="D2471" s="64">
        <f>VLOOKUP(C2471,'CHAS - Cook Co'!$C$1:$J$2762,2,FALSE) - VLOOKUP(C2471,'CHAS - Chicago'!$C$1:$J$2762,2,FALSE)</f>
        <v>5010</v>
      </c>
      <c r="E2471" t="s">
        <v>373</v>
      </c>
      <c r="F2471" s="71" t="s">
        <v>508</v>
      </c>
      <c r="G2471" s="71" t="s">
        <v>3017</v>
      </c>
      <c r="H2471" s="71" t="s">
        <v>2456</v>
      </c>
      <c r="I2471" s="71" t="s">
        <v>371</v>
      </c>
    </row>
    <row r="2472" spans="1:9" ht="43.5" x14ac:dyDescent="0.35">
      <c r="A2472">
        <v>18</v>
      </c>
      <c r="B2472">
        <v>5</v>
      </c>
      <c r="C2472" t="s">
        <v>3029</v>
      </c>
      <c r="D2472" s="64">
        <f>VLOOKUP(C2472,'CHAS - Cook Co'!$C$1:$J$2762,2,FALSE) - VLOOKUP(C2472,'CHAS - Chicago'!$C$1:$J$2762,2,FALSE)</f>
        <v>10055</v>
      </c>
      <c r="E2472" t="s">
        <v>373</v>
      </c>
      <c r="F2472" s="71" t="s">
        <v>3020</v>
      </c>
      <c r="G2472" s="71" t="s">
        <v>3017</v>
      </c>
      <c r="H2472" s="71" t="s">
        <v>3022</v>
      </c>
      <c r="I2472" s="71" t="s">
        <v>2805</v>
      </c>
    </row>
    <row r="2473" spans="1:9" ht="43.5" x14ac:dyDescent="0.35">
      <c r="A2473">
        <v>18</v>
      </c>
      <c r="B2473">
        <v>5</v>
      </c>
      <c r="C2473" t="s">
        <v>3030</v>
      </c>
      <c r="D2473" s="64">
        <f>VLOOKUP(C2473,'CHAS - Cook Co'!$C$1:$J$2762,2,FALSE) - VLOOKUP(C2473,'CHAS - Chicago'!$C$1:$J$2762,2,FALSE)</f>
        <v>8055</v>
      </c>
      <c r="E2473" t="s">
        <v>373</v>
      </c>
      <c r="F2473" s="71" t="s">
        <v>2510</v>
      </c>
      <c r="G2473" s="71" t="s">
        <v>3017</v>
      </c>
      <c r="H2473" s="71" t="s">
        <v>3022</v>
      </c>
      <c r="I2473" s="71" t="s">
        <v>2805</v>
      </c>
    </row>
    <row r="2474" spans="1:9" ht="43.5" x14ac:dyDescent="0.35">
      <c r="A2474">
        <v>18</v>
      </c>
      <c r="B2474">
        <v>5</v>
      </c>
      <c r="C2474" t="s">
        <v>3028</v>
      </c>
      <c r="D2474" s="64">
        <f>VLOOKUP(C2474,'CHAS - Cook Co'!$C$1:$J$2762,2,FALSE) - VLOOKUP(C2474,'CHAS - Chicago'!$C$1:$J$2762,2,FALSE)</f>
        <v>1590</v>
      </c>
      <c r="E2474" t="s">
        <v>373</v>
      </c>
      <c r="F2474" s="71" t="s">
        <v>508</v>
      </c>
      <c r="G2474" s="71" t="s">
        <v>3017</v>
      </c>
      <c r="H2474" s="71" t="s">
        <v>2456</v>
      </c>
      <c r="I2474" s="71" t="s">
        <v>2805</v>
      </c>
    </row>
    <row r="2475" spans="1:9" ht="43.5" x14ac:dyDescent="0.35">
      <c r="A2475">
        <v>18</v>
      </c>
      <c r="B2475">
        <v>6</v>
      </c>
      <c r="C2475" t="s">
        <v>3033</v>
      </c>
      <c r="D2475" s="64">
        <f>VLOOKUP(C2475,'CHAS - Cook Co'!$C$1:$J$2762,2,FALSE) - VLOOKUP(C2475,'CHAS - Chicago'!$C$1:$J$2762,2,FALSE)</f>
        <v>18190</v>
      </c>
      <c r="E2475" t="s">
        <v>373</v>
      </c>
      <c r="F2475" s="71" t="s">
        <v>3020</v>
      </c>
      <c r="G2475" s="71" t="s">
        <v>3017</v>
      </c>
      <c r="H2475" s="71" t="s">
        <v>3022</v>
      </c>
      <c r="I2475" s="71" t="s">
        <v>2827</v>
      </c>
    </row>
    <row r="2476" spans="1:9" ht="43.5" x14ac:dyDescent="0.35">
      <c r="A2476">
        <v>18</v>
      </c>
      <c r="B2476">
        <v>6</v>
      </c>
      <c r="C2476" t="s">
        <v>3032</v>
      </c>
      <c r="D2476" s="64">
        <f>VLOOKUP(C2476,'CHAS - Cook Co'!$C$1:$J$2762,2,FALSE) - VLOOKUP(C2476,'CHAS - Chicago'!$C$1:$J$2762,2,FALSE)</f>
        <v>9325</v>
      </c>
      <c r="E2476" t="s">
        <v>373</v>
      </c>
      <c r="F2476" s="71" t="s">
        <v>2510</v>
      </c>
      <c r="G2476" s="71" t="s">
        <v>3017</v>
      </c>
      <c r="H2476" s="71" t="s">
        <v>3022</v>
      </c>
      <c r="I2476" s="71" t="s">
        <v>2827</v>
      </c>
    </row>
    <row r="2477" spans="1:9" ht="43.5" x14ac:dyDescent="0.35">
      <c r="A2477">
        <v>18</v>
      </c>
      <c r="B2477">
        <v>6</v>
      </c>
      <c r="C2477" t="s">
        <v>3031</v>
      </c>
      <c r="D2477" s="64">
        <f>VLOOKUP(C2477,'CHAS - Cook Co'!$C$1:$J$2762,2,FALSE) - VLOOKUP(C2477,'CHAS - Chicago'!$C$1:$J$2762,2,FALSE)</f>
        <v>1470</v>
      </c>
      <c r="E2477" t="s">
        <v>373</v>
      </c>
      <c r="F2477" s="71" t="s">
        <v>508</v>
      </c>
      <c r="G2477" s="71" t="s">
        <v>3017</v>
      </c>
      <c r="H2477" s="71" t="s">
        <v>2456</v>
      </c>
      <c r="I2477" s="71" t="s">
        <v>2827</v>
      </c>
    </row>
    <row r="2478" spans="1:9" ht="43.5" x14ac:dyDescent="0.35">
      <c r="A2478">
        <v>18</v>
      </c>
      <c r="B2478">
        <v>7</v>
      </c>
      <c r="C2478" t="s">
        <v>3034</v>
      </c>
      <c r="D2478" s="64">
        <f>VLOOKUP(C2478,'CHAS - Cook Co'!$C$1:$J$2762,2,FALSE) - VLOOKUP(C2478,'CHAS - Chicago'!$C$1:$J$2762,2,FALSE)</f>
        <v>13255</v>
      </c>
      <c r="E2478" t="s">
        <v>373</v>
      </c>
      <c r="F2478" s="71" t="s">
        <v>3020</v>
      </c>
      <c r="G2478" s="71" t="s">
        <v>3017</v>
      </c>
      <c r="H2478" s="71" t="s">
        <v>3022</v>
      </c>
      <c r="I2478" s="71" t="s">
        <v>3035</v>
      </c>
    </row>
    <row r="2479" spans="1:9" ht="43.5" x14ac:dyDescent="0.35">
      <c r="A2479">
        <v>18</v>
      </c>
      <c r="B2479">
        <v>7</v>
      </c>
      <c r="C2479" t="s">
        <v>3037</v>
      </c>
      <c r="D2479" s="64">
        <f>VLOOKUP(C2479,'CHAS - Cook Co'!$C$1:$J$2762,2,FALSE) - VLOOKUP(C2479,'CHAS - Chicago'!$C$1:$J$2762,2,FALSE)</f>
        <v>5085</v>
      </c>
      <c r="E2479" t="s">
        <v>373</v>
      </c>
      <c r="F2479" s="71" t="s">
        <v>2510</v>
      </c>
      <c r="G2479" s="71" t="s">
        <v>3017</v>
      </c>
      <c r="H2479" s="71" t="s">
        <v>3022</v>
      </c>
      <c r="I2479" s="71" t="s">
        <v>3035</v>
      </c>
    </row>
    <row r="2480" spans="1:9" ht="43.5" x14ac:dyDescent="0.35">
      <c r="A2480">
        <v>18</v>
      </c>
      <c r="B2480">
        <v>7</v>
      </c>
      <c r="C2480" t="s">
        <v>3036</v>
      </c>
      <c r="D2480" s="64">
        <f>VLOOKUP(C2480,'CHAS - Cook Co'!$C$1:$J$2762,2,FALSE) - VLOOKUP(C2480,'CHAS - Chicago'!$C$1:$J$2762,2,FALSE)</f>
        <v>675</v>
      </c>
      <c r="E2480" t="s">
        <v>373</v>
      </c>
      <c r="F2480" s="71" t="s">
        <v>508</v>
      </c>
      <c r="G2480" s="71" t="s">
        <v>3017</v>
      </c>
      <c r="H2480" s="71" t="s">
        <v>2456</v>
      </c>
      <c r="I2480" s="71" t="s">
        <v>3035</v>
      </c>
    </row>
    <row r="2481" spans="1:9" ht="29" x14ac:dyDescent="0.35">
      <c r="A2481">
        <v>18</v>
      </c>
      <c r="B2481">
        <v>8</v>
      </c>
      <c r="C2481" t="s">
        <v>3040</v>
      </c>
      <c r="D2481" s="64">
        <f>VLOOKUP(C2481,'CHAS - Cook Co'!$C$1:$J$2762,2,FALSE) - VLOOKUP(C2481,'CHAS - Chicago'!$C$1:$J$2762,2,FALSE)</f>
        <v>34780</v>
      </c>
      <c r="E2481" t="s">
        <v>373</v>
      </c>
      <c r="F2481" s="71" t="s">
        <v>3020</v>
      </c>
      <c r="G2481" s="71" t="s">
        <v>3017</v>
      </c>
      <c r="H2481" s="71" t="s">
        <v>3022</v>
      </c>
      <c r="I2481" s="71" t="s">
        <v>415</v>
      </c>
    </row>
    <row r="2482" spans="1:9" ht="29" x14ac:dyDescent="0.35">
      <c r="A2482">
        <v>18</v>
      </c>
      <c r="B2482">
        <v>8</v>
      </c>
      <c r="C2482" t="s">
        <v>3038</v>
      </c>
      <c r="D2482" s="64">
        <f>VLOOKUP(C2482,'CHAS - Cook Co'!$C$1:$J$2762,2,FALSE) - VLOOKUP(C2482,'CHAS - Chicago'!$C$1:$J$2762,2,FALSE)</f>
        <v>11545</v>
      </c>
      <c r="E2482" t="s">
        <v>373</v>
      </c>
      <c r="F2482" s="71" t="s">
        <v>2510</v>
      </c>
      <c r="G2482" s="71" t="s">
        <v>3017</v>
      </c>
      <c r="H2482" s="71" t="s">
        <v>3022</v>
      </c>
      <c r="I2482" s="71" t="s">
        <v>415</v>
      </c>
    </row>
    <row r="2483" spans="1:9" ht="29" x14ac:dyDescent="0.35">
      <c r="A2483">
        <v>18</v>
      </c>
      <c r="B2483">
        <v>8</v>
      </c>
      <c r="C2483" t="s">
        <v>3039</v>
      </c>
      <c r="D2483" s="64">
        <f>VLOOKUP(C2483,'CHAS - Cook Co'!$C$1:$J$2762,2,FALSE) - VLOOKUP(C2483,'CHAS - Chicago'!$C$1:$J$2762,2,FALSE)</f>
        <v>1795</v>
      </c>
      <c r="E2483" t="s">
        <v>373</v>
      </c>
      <c r="F2483" s="71" t="s">
        <v>508</v>
      </c>
      <c r="G2483" s="71" t="s">
        <v>3017</v>
      </c>
      <c r="H2483" s="71" t="s">
        <v>2456</v>
      </c>
      <c r="I2483" s="71" t="s">
        <v>415</v>
      </c>
    </row>
    <row r="2484" spans="1:9" ht="43.5" x14ac:dyDescent="0.35">
      <c r="A2484">
        <v>18</v>
      </c>
      <c r="B2484">
        <v>9</v>
      </c>
      <c r="C2484" t="s">
        <v>3043</v>
      </c>
      <c r="D2484" s="64">
        <f>VLOOKUP(C2484,'CHAS - Cook Co'!$C$1:$J$2762,2,FALSE) - VLOOKUP(C2484,'CHAS - Chicago'!$C$1:$J$2762,2,FALSE)</f>
        <v>107355</v>
      </c>
      <c r="E2484" t="s">
        <v>366</v>
      </c>
      <c r="F2484" s="71" t="s">
        <v>3020</v>
      </c>
      <c r="G2484" s="71" t="s">
        <v>3017</v>
      </c>
      <c r="H2484" s="71" t="s">
        <v>3044</v>
      </c>
      <c r="I2484" s="71" t="s">
        <v>363</v>
      </c>
    </row>
    <row r="2485" spans="1:9" ht="43.5" x14ac:dyDescent="0.35">
      <c r="A2485">
        <v>18</v>
      </c>
      <c r="B2485">
        <v>9</v>
      </c>
      <c r="C2485" t="s">
        <v>3045</v>
      </c>
      <c r="D2485" s="64">
        <f>VLOOKUP(C2485,'CHAS - Cook Co'!$C$1:$J$2762,2,FALSE) - VLOOKUP(C2485,'CHAS - Chicago'!$C$1:$J$2762,2,FALSE)</f>
        <v>51110</v>
      </c>
      <c r="E2485" t="s">
        <v>366</v>
      </c>
      <c r="F2485" s="71" t="s">
        <v>2510</v>
      </c>
      <c r="G2485" s="71" t="s">
        <v>3017</v>
      </c>
      <c r="H2485" s="71" t="s">
        <v>3044</v>
      </c>
      <c r="I2485" s="71" t="s">
        <v>363</v>
      </c>
    </row>
    <row r="2486" spans="1:9" ht="29" x14ac:dyDescent="0.35">
      <c r="A2486">
        <v>18</v>
      </c>
      <c r="B2486">
        <v>9</v>
      </c>
      <c r="C2486" t="s">
        <v>3041</v>
      </c>
      <c r="D2486" s="64">
        <f>VLOOKUP(C2486,'CHAS - Cook Co'!$C$1:$J$2762,2,FALSE) - VLOOKUP(C2486,'CHAS - Chicago'!$C$1:$J$2762,2,FALSE)</f>
        <v>12620</v>
      </c>
      <c r="E2486" t="s">
        <v>366</v>
      </c>
      <c r="F2486" s="71" t="s">
        <v>508</v>
      </c>
      <c r="G2486" s="71" t="s">
        <v>3017</v>
      </c>
      <c r="H2486" s="71" t="s">
        <v>3042</v>
      </c>
      <c r="I2486" s="71" t="s">
        <v>363</v>
      </c>
    </row>
    <row r="2487" spans="1:9" ht="43.5" x14ac:dyDescent="0.35">
      <c r="A2487">
        <v>18</v>
      </c>
      <c r="B2487">
        <v>10</v>
      </c>
      <c r="C2487" t="s">
        <v>3046</v>
      </c>
      <c r="D2487" s="64">
        <f>VLOOKUP(C2487,'CHAS - Cook Co'!$C$1:$J$2762,2,FALSE) - VLOOKUP(C2487,'CHAS - Chicago'!$C$1:$J$2762,2,FALSE)</f>
        <v>6360</v>
      </c>
      <c r="E2487" t="s">
        <v>373</v>
      </c>
      <c r="F2487" s="71" t="s">
        <v>3020</v>
      </c>
      <c r="G2487" s="71" t="s">
        <v>3017</v>
      </c>
      <c r="H2487" s="71" t="s">
        <v>3044</v>
      </c>
      <c r="I2487" s="71" t="s">
        <v>371</v>
      </c>
    </row>
    <row r="2488" spans="1:9" ht="43.5" x14ac:dyDescent="0.35">
      <c r="A2488">
        <v>18</v>
      </c>
      <c r="B2488">
        <v>10</v>
      </c>
      <c r="C2488" t="s">
        <v>3047</v>
      </c>
      <c r="D2488" s="64">
        <f>VLOOKUP(C2488,'CHAS - Cook Co'!$C$1:$J$2762,2,FALSE) - VLOOKUP(C2488,'CHAS - Chicago'!$C$1:$J$2762,2,FALSE)</f>
        <v>5915</v>
      </c>
      <c r="E2488" t="s">
        <v>373</v>
      </c>
      <c r="F2488" s="71" t="s">
        <v>2510</v>
      </c>
      <c r="G2488" s="71" t="s">
        <v>3017</v>
      </c>
      <c r="H2488" s="71" t="s">
        <v>3044</v>
      </c>
      <c r="I2488" s="71" t="s">
        <v>371</v>
      </c>
    </row>
    <row r="2489" spans="1:9" ht="29" x14ac:dyDescent="0.35">
      <c r="A2489">
        <v>18</v>
      </c>
      <c r="B2489">
        <v>10</v>
      </c>
      <c r="C2489" t="s">
        <v>3048</v>
      </c>
      <c r="D2489" s="64">
        <f>VLOOKUP(C2489,'CHAS - Cook Co'!$C$1:$J$2762,2,FALSE) - VLOOKUP(C2489,'CHAS - Chicago'!$C$1:$J$2762,2,FALSE)</f>
        <v>4530</v>
      </c>
      <c r="E2489" t="s">
        <v>373</v>
      </c>
      <c r="F2489" s="71" t="s">
        <v>508</v>
      </c>
      <c r="G2489" s="71" t="s">
        <v>3017</v>
      </c>
      <c r="H2489" s="71" t="s">
        <v>3042</v>
      </c>
      <c r="I2489" s="71" t="s">
        <v>371</v>
      </c>
    </row>
    <row r="2490" spans="1:9" ht="43.5" x14ac:dyDescent="0.35">
      <c r="A2490">
        <v>18</v>
      </c>
      <c r="B2490">
        <v>11</v>
      </c>
      <c r="C2490" t="s">
        <v>3049</v>
      </c>
      <c r="D2490" s="64">
        <f>VLOOKUP(C2490,'CHAS - Cook Co'!$C$1:$J$2762,2,FALSE) - VLOOKUP(C2490,'CHAS - Chicago'!$C$1:$J$2762,2,FALSE)</f>
        <v>8355</v>
      </c>
      <c r="E2490" t="s">
        <v>373</v>
      </c>
      <c r="F2490" s="71" t="s">
        <v>3020</v>
      </c>
      <c r="G2490" s="71" t="s">
        <v>3017</v>
      </c>
      <c r="H2490" s="71" t="s">
        <v>3044</v>
      </c>
      <c r="I2490" s="71" t="s">
        <v>2805</v>
      </c>
    </row>
    <row r="2491" spans="1:9" ht="43.5" x14ac:dyDescent="0.35">
      <c r="A2491">
        <v>18</v>
      </c>
      <c r="B2491">
        <v>11</v>
      </c>
      <c r="C2491" t="s">
        <v>3051</v>
      </c>
      <c r="D2491" s="64">
        <f>VLOOKUP(C2491,'CHAS - Cook Co'!$C$1:$J$2762,2,FALSE) - VLOOKUP(C2491,'CHAS - Chicago'!$C$1:$J$2762,2,FALSE)</f>
        <v>8545</v>
      </c>
      <c r="E2491" t="s">
        <v>373</v>
      </c>
      <c r="F2491" s="71" t="s">
        <v>2510</v>
      </c>
      <c r="G2491" s="71" t="s">
        <v>3017</v>
      </c>
      <c r="H2491" s="71" t="s">
        <v>3044</v>
      </c>
      <c r="I2491" s="71" t="s">
        <v>2805</v>
      </c>
    </row>
    <row r="2492" spans="1:9" ht="43.5" x14ac:dyDescent="0.35">
      <c r="A2492">
        <v>18</v>
      </c>
      <c r="B2492">
        <v>11</v>
      </c>
      <c r="C2492" t="s">
        <v>3050</v>
      </c>
      <c r="D2492" s="64">
        <f>VLOOKUP(C2492,'CHAS - Cook Co'!$C$1:$J$2762,2,FALSE) - VLOOKUP(C2492,'CHAS - Chicago'!$C$1:$J$2762,2,FALSE)</f>
        <v>2850</v>
      </c>
      <c r="E2492" t="s">
        <v>373</v>
      </c>
      <c r="F2492" s="71" t="s">
        <v>508</v>
      </c>
      <c r="G2492" s="71" t="s">
        <v>3017</v>
      </c>
      <c r="H2492" s="71" t="s">
        <v>3042</v>
      </c>
      <c r="I2492" s="71" t="s">
        <v>2805</v>
      </c>
    </row>
    <row r="2493" spans="1:9" ht="43.5" x14ac:dyDescent="0.35">
      <c r="A2493">
        <v>18</v>
      </c>
      <c r="B2493">
        <v>12</v>
      </c>
      <c r="C2493" t="s">
        <v>3052</v>
      </c>
      <c r="D2493" s="64">
        <f>VLOOKUP(C2493,'CHAS - Cook Co'!$C$1:$J$2762,2,FALSE) - VLOOKUP(C2493,'CHAS - Chicago'!$C$1:$J$2762,2,FALSE)</f>
        <v>17215</v>
      </c>
      <c r="E2493" t="s">
        <v>373</v>
      </c>
      <c r="F2493" s="71" t="s">
        <v>3020</v>
      </c>
      <c r="G2493" s="71" t="s">
        <v>3017</v>
      </c>
      <c r="H2493" s="71" t="s">
        <v>3044</v>
      </c>
      <c r="I2493" s="71" t="s">
        <v>2827</v>
      </c>
    </row>
    <row r="2494" spans="1:9" ht="43.5" x14ac:dyDescent="0.35">
      <c r="A2494">
        <v>18</v>
      </c>
      <c r="B2494">
        <v>12</v>
      </c>
      <c r="C2494" t="s">
        <v>3053</v>
      </c>
      <c r="D2494" s="64">
        <f>VLOOKUP(C2494,'CHAS - Cook Co'!$C$1:$J$2762,2,FALSE) - VLOOKUP(C2494,'CHAS - Chicago'!$C$1:$J$2762,2,FALSE)</f>
        <v>10690</v>
      </c>
      <c r="E2494" t="s">
        <v>373</v>
      </c>
      <c r="F2494" s="71" t="s">
        <v>2510</v>
      </c>
      <c r="G2494" s="71" t="s">
        <v>3017</v>
      </c>
      <c r="H2494" s="71" t="s">
        <v>3044</v>
      </c>
      <c r="I2494" s="71" t="s">
        <v>2827</v>
      </c>
    </row>
    <row r="2495" spans="1:9" ht="43.5" x14ac:dyDescent="0.35">
      <c r="A2495">
        <v>18</v>
      </c>
      <c r="B2495">
        <v>12</v>
      </c>
      <c r="C2495" t="s">
        <v>3054</v>
      </c>
      <c r="D2495" s="64">
        <f>VLOOKUP(C2495,'CHAS - Cook Co'!$C$1:$J$2762,2,FALSE) - VLOOKUP(C2495,'CHAS - Chicago'!$C$1:$J$2762,2,FALSE)</f>
        <v>2655</v>
      </c>
      <c r="E2495" t="s">
        <v>373</v>
      </c>
      <c r="F2495" s="71" t="s">
        <v>508</v>
      </c>
      <c r="G2495" s="71" t="s">
        <v>3017</v>
      </c>
      <c r="H2495" s="71" t="s">
        <v>3042</v>
      </c>
      <c r="I2495" s="71" t="s">
        <v>2827</v>
      </c>
    </row>
    <row r="2496" spans="1:9" ht="43.5" x14ac:dyDescent="0.35">
      <c r="A2496">
        <v>18</v>
      </c>
      <c r="B2496">
        <v>13</v>
      </c>
      <c r="C2496" t="s">
        <v>3057</v>
      </c>
      <c r="D2496" s="64">
        <f>VLOOKUP(C2496,'CHAS - Cook Co'!$C$1:$J$2762,2,FALSE) - VLOOKUP(C2496,'CHAS - Chicago'!$C$1:$J$2762,2,FALSE)</f>
        <v>13285</v>
      </c>
      <c r="E2496" t="s">
        <v>373</v>
      </c>
      <c r="F2496" s="71" t="s">
        <v>3020</v>
      </c>
      <c r="G2496" s="71" t="s">
        <v>3017</v>
      </c>
      <c r="H2496" s="71" t="s">
        <v>3044</v>
      </c>
      <c r="I2496" s="71" t="s">
        <v>3035</v>
      </c>
    </row>
    <row r="2497" spans="1:9" ht="43.5" x14ac:dyDescent="0.35">
      <c r="A2497">
        <v>18</v>
      </c>
      <c r="B2497">
        <v>13</v>
      </c>
      <c r="C2497" t="s">
        <v>3056</v>
      </c>
      <c r="D2497" s="64">
        <f>VLOOKUP(C2497,'CHAS - Cook Co'!$C$1:$J$2762,2,FALSE) - VLOOKUP(C2497,'CHAS - Chicago'!$C$1:$J$2762,2,FALSE)</f>
        <v>6395</v>
      </c>
      <c r="E2497" t="s">
        <v>373</v>
      </c>
      <c r="F2497" s="71" t="s">
        <v>2510</v>
      </c>
      <c r="G2497" s="71" t="s">
        <v>3017</v>
      </c>
      <c r="H2497" s="71" t="s">
        <v>3044</v>
      </c>
      <c r="I2497" s="71" t="s">
        <v>3035</v>
      </c>
    </row>
    <row r="2498" spans="1:9" ht="43.5" x14ac:dyDescent="0.35">
      <c r="A2498">
        <v>18</v>
      </c>
      <c r="B2498">
        <v>13</v>
      </c>
      <c r="C2498" t="s">
        <v>3055</v>
      </c>
      <c r="D2498" s="64">
        <f>VLOOKUP(C2498,'CHAS - Cook Co'!$C$1:$J$2762,2,FALSE) - VLOOKUP(C2498,'CHAS - Chicago'!$C$1:$J$2762,2,FALSE)</f>
        <v>1005</v>
      </c>
      <c r="E2498" t="s">
        <v>373</v>
      </c>
      <c r="F2498" s="71" t="s">
        <v>508</v>
      </c>
      <c r="G2498" s="71" t="s">
        <v>3017</v>
      </c>
      <c r="H2498" s="71" t="s">
        <v>3042</v>
      </c>
      <c r="I2498" s="71" t="s">
        <v>3035</v>
      </c>
    </row>
    <row r="2499" spans="1:9" ht="43.5" x14ac:dyDescent="0.35">
      <c r="A2499">
        <v>18</v>
      </c>
      <c r="B2499">
        <v>14</v>
      </c>
      <c r="C2499" t="s">
        <v>3060</v>
      </c>
      <c r="D2499" s="64">
        <f>VLOOKUP(C2499,'CHAS - Cook Co'!$C$1:$J$2762,2,FALSE) - VLOOKUP(C2499,'CHAS - Chicago'!$C$1:$J$2762,2,FALSE)</f>
        <v>62135</v>
      </c>
      <c r="E2499" t="s">
        <v>373</v>
      </c>
      <c r="F2499" s="71" t="s">
        <v>3020</v>
      </c>
      <c r="G2499" s="71" t="s">
        <v>3017</v>
      </c>
      <c r="H2499" s="71" t="s">
        <v>3044</v>
      </c>
      <c r="I2499" s="71" t="s">
        <v>415</v>
      </c>
    </row>
    <row r="2500" spans="1:9" ht="43.5" x14ac:dyDescent="0.35">
      <c r="A2500">
        <v>18</v>
      </c>
      <c r="B2500">
        <v>14</v>
      </c>
      <c r="C2500" t="s">
        <v>3058</v>
      </c>
      <c r="D2500" s="64">
        <f>VLOOKUP(C2500,'CHAS - Cook Co'!$C$1:$J$2762,2,FALSE) - VLOOKUP(C2500,'CHAS - Chicago'!$C$1:$J$2762,2,FALSE)</f>
        <v>19570</v>
      </c>
      <c r="E2500" t="s">
        <v>373</v>
      </c>
      <c r="F2500" s="71" t="s">
        <v>2510</v>
      </c>
      <c r="G2500" s="71" t="s">
        <v>3017</v>
      </c>
      <c r="H2500" s="71" t="s">
        <v>3044</v>
      </c>
      <c r="I2500" s="71" t="s">
        <v>415</v>
      </c>
    </row>
    <row r="2501" spans="1:9" ht="29" x14ac:dyDescent="0.35">
      <c r="A2501">
        <v>18</v>
      </c>
      <c r="B2501">
        <v>14</v>
      </c>
      <c r="C2501" t="s">
        <v>3059</v>
      </c>
      <c r="D2501" s="64">
        <f>VLOOKUP(C2501,'CHAS - Cook Co'!$C$1:$J$2762,2,FALSE) - VLOOKUP(C2501,'CHAS - Chicago'!$C$1:$J$2762,2,FALSE)</f>
        <v>1575</v>
      </c>
      <c r="E2501" t="s">
        <v>373</v>
      </c>
      <c r="F2501" s="71" t="s">
        <v>508</v>
      </c>
      <c r="G2501" s="71" t="s">
        <v>3017</v>
      </c>
      <c r="H2501" s="71" t="s">
        <v>3042</v>
      </c>
      <c r="I2501" s="71" t="s">
        <v>415</v>
      </c>
    </row>
    <row r="2502" spans="1:9" ht="43.5" x14ac:dyDescent="0.35">
      <c r="A2502">
        <v>18</v>
      </c>
      <c r="B2502">
        <v>15</v>
      </c>
      <c r="C2502" t="s">
        <v>3065</v>
      </c>
      <c r="D2502" s="64">
        <f>VLOOKUP(C2502,'CHAS - Cook Co'!$C$1:$J$2762,2,FALSE) - VLOOKUP(C2502,'CHAS - Chicago'!$C$1:$J$2762,2,FALSE)</f>
        <v>51945</v>
      </c>
      <c r="E2502" t="s">
        <v>366</v>
      </c>
      <c r="F2502" s="71" t="s">
        <v>3020</v>
      </c>
      <c r="G2502" s="71" t="s">
        <v>3017</v>
      </c>
      <c r="H2502" s="71" t="s">
        <v>3064</v>
      </c>
      <c r="I2502" s="71" t="s">
        <v>363</v>
      </c>
    </row>
    <row r="2503" spans="1:9" ht="43.5" x14ac:dyDescent="0.35">
      <c r="A2503">
        <v>18</v>
      </c>
      <c r="B2503">
        <v>15</v>
      </c>
      <c r="C2503" t="s">
        <v>3063</v>
      </c>
      <c r="D2503" s="64">
        <f>VLOOKUP(C2503,'CHAS - Cook Co'!$C$1:$J$2762,2,FALSE) - VLOOKUP(C2503,'CHAS - Chicago'!$C$1:$J$2762,2,FALSE)</f>
        <v>24880</v>
      </c>
      <c r="E2503" t="s">
        <v>366</v>
      </c>
      <c r="F2503" s="71" t="s">
        <v>2510</v>
      </c>
      <c r="G2503" s="71" t="s">
        <v>3017</v>
      </c>
      <c r="H2503" s="71" t="s">
        <v>3064</v>
      </c>
      <c r="I2503" s="71" t="s">
        <v>363</v>
      </c>
    </row>
    <row r="2504" spans="1:9" ht="29" x14ac:dyDescent="0.35">
      <c r="A2504">
        <v>18</v>
      </c>
      <c r="B2504">
        <v>15</v>
      </c>
      <c r="C2504" t="s">
        <v>3061</v>
      </c>
      <c r="D2504" s="64">
        <f>VLOOKUP(C2504,'CHAS - Cook Co'!$C$1:$J$2762,2,FALSE) - VLOOKUP(C2504,'CHAS - Chicago'!$C$1:$J$2762,2,FALSE)</f>
        <v>28535</v>
      </c>
      <c r="E2504" t="s">
        <v>366</v>
      </c>
      <c r="F2504" s="71" t="s">
        <v>508</v>
      </c>
      <c r="G2504" s="71" t="s">
        <v>3017</v>
      </c>
      <c r="H2504" s="71" t="s">
        <v>3062</v>
      </c>
      <c r="I2504" s="71" t="s">
        <v>363</v>
      </c>
    </row>
    <row r="2505" spans="1:9" ht="43.5" x14ac:dyDescent="0.35">
      <c r="A2505">
        <v>18</v>
      </c>
      <c r="B2505">
        <v>16</v>
      </c>
      <c r="C2505" t="s">
        <v>3066</v>
      </c>
      <c r="D2505" s="64">
        <f>VLOOKUP(C2505,'CHAS - Cook Co'!$C$1:$J$2762,2,FALSE) - VLOOKUP(C2505,'CHAS - Chicago'!$C$1:$J$2762,2,FALSE)</f>
        <v>1710</v>
      </c>
      <c r="E2505" t="s">
        <v>373</v>
      </c>
      <c r="F2505" s="71" t="s">
        <v>3020</v>
      </c>
      <c r="G2505" s="71" t="s">
        <v>3017</v>
      </c>
      <c r="H2505" s="71" t="s">
        <v>3064</v>
      </c>
      <c r="I2505" s="71" t="s">
        <v>371</v>
      </c>
    </row>
    <row r="2506" spans="1:9" ht="43.5" x14ac:dyDescent="0.35">
      <c r="A2506">
        <v>18</v>
      </c>
      <c r="B2506">
        <v>16</v>
      </c>
      <c r="C2506" t="s">
        <v>3068</v>
      </c>
      <c r="D2506" s="64">
        <f>VLOOKUP(C2506,'CHAS - Cook Co'!$C$1:$J$2762,2,FALSE) - VLOOKUP(C2506,'CHAS - Chicago'!$C$1:$J$2762,2,FALSE)</f>
        <v>2610</v>
      </c>
      <c r="E2506" t="s">
        <v>373</v>
      </c>
      <c r="F2506" s="71" t="s">
        <v>2510</v>
      </c>
      <c r="G2506" s="71" t="s">
        <v>3017</v>
      </c>
      <c r="H2506" s="71" t="s">
        <v>3064</v>
      </c>
      <c r="I2506" s="71" t="s">
        <v>371</v>
      </c>
    </row>
    <row r="2507" spans="1:9" ht="29" x14ac:dyDescent="0.35">
      <c r="A2507">
        <v>18</v>
      </c>
      <c r="B2507">
        <v>16</v>
      </c>
      <c r="C2507" t="s">
        <v>3067</v>
      </c>
      <c r="D2507" s="64">
        <f>VLOOKUP(C2507,'CHAS - Cook Co'!$C$1:$J$2762,2,FALSE) - VLOOKUP(C2507,'CHAS - Chicago'!$C$1:$J$2762,2,FALSE)</f>
        <v>6745</v>
      </c>
      <c r="E2507" t="s">
        <v>373</v>
      </c>
      <c r="F2507" s="71" t="s">
        <v>508</v>
      </c>
      <c r="G2507" s="71" t="s">
        <v>3017</v>
      </c>
      <c r="H2507" s="71" t="s">
        <v>3062</v>
      </c>
      <c r="I2507" s="71" t="s">
        <v>371</v>
      </c>
    </row>
    <row r="2508" spans="1:9" ht="43.5" x14ac:dyDescent="0.35">
      <c r="A2508">
        <v>18</v>
      </c>
      <c r="B2508">
        <v>17</v>
      </c>
      <c r="C2508" t="s">
        <v>3070</v>
      </c>
      <c r="D2508" s="64">
        <f>VLOOKUP(C2508,'CHAS - Cook Co'!$C$1:$J$2762,2,FALSE) - VLOOKUP(C2508,'CHAS - Chicago'!$C$1:$J$2762,2,FALSE)</f>
        <v>2415</v>
      </c>
      <c r="E2508" t="s">
        <v>373</v>
      </c>
      <c r="F2508" s="71" t="s">
        <v>3020</v>
      </c>
      <c r="G2508" s="71" t="s">
        <v>3017</v>
      </c>
      <c r="H2508" s="71" t="s">
        <v>3064</v>
      </c>
      <c r="I2508" s="71" t="s">
        <v>2805</v>
      </c>
    </row>
    <row r="2509" spans="1:9" ht="43.5" x14ac:dyDescent="0.35">
      <c r="A2509">
        <v>18</v>
      </c>
      <c r="B2509">
        <v>17</v>
      </c>
      <c r="C2509" t="s">
        <v>3071</v>
      </c>
      <c r="D2509" s="64">
        <f>VLOOKUP(C2509,'CHAS - Cook Co'!$C$1:$J$2762,2,FALSE) - VLOOKUP(C2509,'CHAS - Chicago'!$C$1:$J$2762,2,FALSE)</f>
        <v>3550</v>
      </c>
      <c r="E2509" t="s">
        <v>373</v>
      </c>
      <c r="F2509" s="71" t="s">
        <v>2510</v>
      </c>
      <c r="G2509" s="71" t="s">
        <v>3017</v>
      </c>
      <c r="H2509" s="71" t="s">
        <v>3064</v>
      </c>
      <c r="I2509" s="71" t="s">
        <v>2805</v>
      </c>
    </row>
    <row r="2510" spans="1:9" ht="43.5" x14ac:dyDescent="0.35">
      <c r="A2510">
        <v>18</v>
      </c>
      <c r="B2510">
        <v>17</v>
      </c>
      <c r="C2510" t="s">
        <v>3069</v>
      </c>
      <c r="D2510" s="64">
        <f>VLOOKUP(C2510,'CHAS - Cook Co'!$C$1:$J$2762,2,FALSE) - VLOOKUP(C2510,'CHAS - Chicago'!$C$1:$J$2762,2,FALSE)</f>
        <v>5235</v>
      </c>
      <c r="E2510" t="s">
        <v>373</v>
      </c>
      <c r="F2510" s="71" t="s">
        <v>508</v>
      </c>
      <c r="G2510" s="71" t="s">
        <v>3017</v>
      </c>
      <c r="H2510" s="71" t="s">
        <v>3062</v>
      </c>
      <c r="I2510" s="71" t="s">
        <v>2805</v>
      </c>
    </row>
    <row r="2511" spans="1:9" ht="43.5" x14ac:dyDescent="0.35">
      <c r="A2511">
        <v>18</v>
      </c>
      <c r="B2511">
        <v>18</v>
      </c>
      <c r="C2511" t="s">
        <v>3074</v>
      </c>
      <c r="D2511" s="64">
        <f>VLOOKUP(C2511,'CHAS - Cook Co'!$C$1:$J$2762,2,FALSE) - VLOOKUP(C2511,'CHAS - Chicago'!$C$1:$J$2762,2,FALSE)</f>
        <v>6085</v>
      </c>
      <c r="E2511" t="s">
        <v>373</v>
      </c>
      <c r="F2511" s="71" t="s">
        <v>3020</v>
      </c>
      <c r="G2511" s="71" t="s">
        <v>3017</v>
      </c>
      <c r="H2511" s="71" t="s">
        <v>3064</v>
      </c>
      <c r="I2511" s="71" t="s">
        <v>2827</v>
      </c>
    </row>
    <row r="2512" spans="1:9" ht="43.5" x14ac:dyDescent="0.35">
      <c r="A2512">
        <v>18</v>
      </c>
      <c r="B2512">
        <v>18</v>
      </c>
      <c r="C2512" t="s">
        <v>3072</v>
      </c>
      <c r="D2512" s="64">
        <f>VLOOKUP(C2512,'CHAS - Cook Co'!$C$1:$J$2762,2,FALSE) - VLOOKUP(C2512,'CHAS - Chicago'!$C$1:$J$2762,2,FALSE)</f>
        <v>4345</v>
      </c>
      <c r="E2512" t="s">
        <v>373</v>
      </c>
      <c r="F2512" s="71" t="s">
        <v>2510</v>
      </c>
      <c r="G2512" s="71" t="s">
        <v>3017</v>
      </c>
      <c r="H2512" s="71" t="s">
        <v>3064</v>
      </c>
      <c r="I2512" s="71" t="s">
        <v>2827</v>
      </c>
    </row>
    <row r="2513" spans="1:9" ht="43.5" x14ac:dyDescent="0.35">
      <c r="A2513">
        <v>18</v>
      </c>
      <c r="B2513">
        <v>18</v>
      </c>
      <c r="C2513" t="s">
        <v>3073</v>
      </c>
      <c r="D2513" s="64">
        <f>VLOOKUP(C2513,'CHAS - Cook Co'!$C$1:$J$2762,2,FALSE) - VLOOKUP(C2513,'CHAS - Chicago'!$C$1:$J$2762,2,FALSE)</f>
        <v>6025</v>
      </c>
      <c r="E2513" t="s">
        <v>373</v>
      </c>
      <c r="F2513" s="71" t="s">
        <v>508</v>
      </c>
      <c r="G2513" s="71" t="s">
        <v>3017</v>
      </c>
      <c r="H2513" s="71" t="s">
        <v>3062</v>
      </c>
      <c r="I2513" s="71" t="s">
        <v>2827</v>
      </c>
    </row>
    <row r="2514" spans="1:9" ht="43.5" x14ac:dyDescent="0.35">
      <c r="A2514">
        <v>18</v>
      </c>
      <c r="B2514">
        <v>19</v>
      </c>
      <c r="C2514" t="s">
        <v>3075</v>
      </c>
      <c r="D2514" s="64">
        <f>VLOOKUP(C2514,'CHAS - Cook Co'!$C$1:$J$2762,2,FALSE) - VLOOKUP(C2514,'CHAS - Chicago'!$C$1:$J$2762,2,FALSE)</f>
        <v>5295</v>
      </c>
      <c r="E2514" t="s">
        <v>373</v>
      </c>
      <c r="F2514" s="71" t="s">
        <v>3020</v>
      </c>
      <c r="G2514" s="71" t="s">
        <v>3017</v>
      </c>
      <c r="H2514" s="71" t="s">
        <v>3064</v>
      </c>
      <c r="I2514" s="71" t="s">
        <v>3035</v>
      </c>
    </row>
    <row r="2515" spans="1:9" ht="43.5" x14ac:dyDescent="0.35">
      <c r="A2515">
        <v>18</v>
      </c>
      <c r="B2515">
        <v>19</v>
      </c>
      <c r="C2515" t="s">
        <v>3077</v>
      </c>
      <c r="D2515" s="64">
        <f>VLOOKUP(C2515,'CHAS - Cook Co'!$C$1:$J$2762,2,FALSE) - VLOOKUP(C2515,'CHAS - Chicago'!$C$1:$J$2762,2,FALSE)</f>
        <v>2620</v>
      </c>
      <c r="E2515" t="s">
        <v>373</v>
      </c>
      <c r="F2515" s="71" t="s">
        <v>2510</v>
      </c>
      <c r="G2515" s="71" t="s">
        <v>3017</v>
      </c>
      <c r="H2515" s="71" t="s">
        <v>3064</v>
      </c>
      <c r="I2515" s="71" t="s">
        <v>3035</v>
      </c>
    </row>
    <row r="2516" spans="1:9" ht="43.5" x14ac:dyDescent="0.35">
      <c r="A2516">
        <v>18</v>
      </c>
      <c r="B2516">
        <v>19</v>
      </c>
      <c r="C2516" t="s">
        <v>3076</v>
      </c>
      <c r="D2516" s="64">
        <f>VLOOKUP(C2516,'CHAS - Cook Co'!$C$1:$J$2762,2,FALSE) - VLOOKUP(C2516,'CHAS - Chicago'!$C$1:$J$2762,2,FALSE)</f>
        <v>3195</v>
      </c>
      <c r="E2516" t="s">
        <v>373</v>
      </c>
      <c r="F2516" s="71" t="s">
        <v>508</v>
      </c>
      <c r="G2516" s="71" t="s">
        <v>3017</v>
      </c>
      <c r="H2516" s="71" t="s">
        <v>3062</v>
      </c>
      <c r="I2516" s="71" t="s">
        <v>3035</v>
      </c>
    </row>
    <row r="2517" spans="1:9" ht="43.5" x14ac:dyDescent="0.35">
      <c r="A2517">
        <v>18</v>
      </c>
      <c r="B2517">
        <v>20</v>
      </c>
      <c r="C2517" t="s">
        <v>3079</v>
      </c>
      <c r="D2517" s="64">
        <f>VLOOKUP(C2517,'CHAS - Cook Co'!$C$1:$J$2762,2,FALSE) - VLOOKUP(C2517,'CHAS - Chicago'!$C$1:$J$2762,2,FALSE)</f>
        <v>36440</v>
      </c>
      <c r="E2517" t="s">
        <v>373</v>
      </c>
      <c r="F2517" s="71" t="s">
        <v>3020</v>
      </c>
      <c r="G2517" s="71" t="s">
        <v>3017</v>
      </c>
      <c r="H2517" s="71" t="s">
        <v>3064</v>
      </c>
      <c r="I2517" s="71" t="s">
        <v>415</v>
      </c>
    </row>
    <row r="2518" spans="1:9" ht="43.5" x14ac:dyDescent="0.35">
      <c r="A2518">
        <v>18</v>
      </c>
      <c r="B2518">
        <v>20</v>
      </c>
      <c r="C2518" t="s">
        <v>3080</v>
      </c>
      <c r="D2518" s="64">
        <f>VLOOKUP(C2518,'CHAS - Cook Co'!$C$1:$J$2762,2,FALSE) - VLOOKUP(C2518,'CHAS - Chicago'!$C$1:$J$2762,2,FALSE)</f>
        <v>11760</v>
      </c>
      <c r="E2518" t="s">
        <v>373</v>
      </c>
      <c r="F2518" s="71" t="s">
        <v>2510</v>
      </c>
      <c r="G2518" s="71" t="s">
        <v>3017</v>
      </c>
      <c r="H2518" s="71" t="s">
        <v>3064</v>
      </c>
      <c r="I2518" s="71" t="s">
        <v>415</v>
      </c>
    </row>
    <row r="2519" spans="1:9" ht="29" x14ac:dyDescent="0.35">
      <c r="A2519">
        <v>18</v>
      </c>
      <c r="B2519">
        <v>20</v>
      </c>
      <c r="C2519" t="s">
        <v>3078</v>
      </c>
      <c r="D2519" s="64">
        <f>VLOOKUP(C2519,'CHAS - Cook Co'!$C$1:$J$2762,2,FALSE) - VLOOKUP(C2519,'CHAS - Chicago'!$C$1:$J$2762,2,FALSE)</f>
        <v>7335</v>
      </c>
      <c r="E2519" t="s">
        <v>373</v>
      </c>
      <c r="F2519" s="71" t="s">
        <v>508</v>
      </c>
      <c r="G2519" s="71" t="s">
        <v>3017</v>
      </c>
      <c r="H2519" s="71" t="s">
        <v>3062</v>
      </c>
      <c r="I2519" s="71" t="s">
        <v>415</v>
      </c>
    </row>
    <row r="2520" spans="1:9" ht="29" x14ac:dyDescent="0.35">
      <c r="A2520">
        <v>18</v>
      </c>
      <c r="B2520">
        <v>21</v>
      </c>
      <c r="C2520" t="s">
        <v>3082</v>
      </c>
      <c r="D2520" s="64">
        <f>VLOOKUP(C2520,'CHAS - Cook Co'!$C$1:$J$2762,2,FALSE) - VLOOKUP(C2520,'CHAS - Chicago'!$C$1:$J$2762,2,FALSE)</f>
        <v>120305</v>
      </c>
      <c r="E2520" t="s">
        <v>366</v>
      </c>
      <c r="F2520" s="71" t="s">
        <v>3020</v>
      </c>
      <c r="G2520" s="71" t="s">
        <v>3017</v>
      </c>
      <c r="H2520" s="71" t="s">
        <v>3083</v>
      </c>
      <c r="I2520" s="71" t="s">
        <v>363</v>
      </c>
    </row>
    <row r="2521" spans="1:9" ht="29" x14ac:dyDescent="0.35">
      <c r="A2521">
        <v>18</v>
      </c>
      <c r="B2521">
        <v>21</v>
      </c>
      <c r="C2521" t="s">
        <v>3084</v>
      </c>
      <c r="D2521" s="64">
        <f>VLOOKUP(C2521,'CHAS - Cook Co'!$C$1:$J$2762,2,FALSE) - VLOOKUP(C2521,'CHAS - Chicago'!$C$1:$J$2762,2,FALSE)</f>
        <v>56615</v>
      </c>
      <c r="E2521" t="s">
        <v>366</v>
      </c>
      <c r="F2521" s="71" t="s">
        <v>2510</v>
      </c>
      <c r="G2521" s="71" t="s">
        <v>3017</v>
      </c>
      <c r="H2521" s="71" t="s">
        <v>3083</v>
      </c>
      <c r="I2521" s="71" t="s">
        <v>363</v>
      </c>
    </row>
    <row r="2522" spans="1:9" ht="29" x14ac:dyDescent="0.35">
      <c r="A2522">
        <v>18</v>
      </c>
      <c r="B2522">
        <v>21</v>
      </c>
      <c r="C2522" t="s">
        <v>3081</v>
      </c>
      <c r="D2522" s="64">
        <f>VLOOKUP(C2522,'CHAS - Cook Co'!$C$1:$J$2762,2,FALSE) - VLOOKUP(C2522,'CHAS - Chicago'!$C$1:$J$2762,2,FALSE)</f>
        <v>16020</v>
      </c>
      <c r="E2522" t="s">
        <v>366</v>
      </c>
      <c r="F2522" s="71" t="s">
        <v>508</v>
      </c>
      <c r="G2522" s="71" t="s">
        <v>3017</v>
      </c>
      <c r="H2522" s="71" t="s">
        <v>2491</v>
      </c>
      <c r="I2522" s="71" t="s">
        <v>363</v>
      </c>
    </row>
    <row r="2523" spans="1:9" ht="29" x14ac:dyDescent="0.35">
      <c r="A2523">
        <v>18</v>
      </c>
      <c r="B2523">
        <v>22</v>
      </c>
      <c r="C2523" t="s">
        <v>3087</v>
      </c>
      <c r="D2523" s="64">
        <f>VLOOKUP(C2523,'CHAS - Cook Co'!$C$1:$J$2762,2,FALSE) - VLOOKUP(C2523,'CHAS - Chicago'!$C$1:$J$2762,2,FALSE)</f>
        <v>3050</v>
      </c>
      <c r="E2523" t="s">
        <v>373</v>
      </c>
      <c r="F2523" s="71" t="s">
        <v>3020</v>
      </c>
      <c r="G2523" s="71" t="s">
        <v>3017</v>
      </c>
      <c r="H2523" s="71" t="s">
        <v>3083</v>
      </c>
      <c r="I2523" s="71" t="s">
        <v>371</v>
      </c>
    </row>
    <row r="2524" spans="1:9" ht="29" x14ac:dyDescent="0.35">
      <c r="A2524">
        <v>18</v>
      </c>
      <c r="B2524">
        <v>22</v>
      </c>
      <c r="C2524" t="s">
        <v>3085</v>
      </c>
      <c r="D2524" s="64">
        <f>VLOOKUP(C2524,'CHAS - Cook Co'!$C$1:$J$2762,2,FALSE) - VLOOKUP(C2524,'CHAS - Chicago'!$C$1:$J$2762,2,FALSE)</f>
        <v>3805</v>
      </c>
      <c r="E2524" t="s">
        <v>373</v>
      </c>
      <c r="F2524" s="71" t="s">
        <v>2510</v>
      </c>
      <c r="G2524" s="71" t="s">
        <v>3017</v>
      </c>
      <c r="H2524" s="71" t="s">
        <v>3083</v>
      </c>
      <c r="I2524" s="71" t="s">
        <v>371</v>
      </c>
    </row>
    <row r="2525" spans="1:9" ht="29" x14ac:dyDescent="0.35">
      <c r="A2525">
        <v>18</v>
      </c>
      <c r="B2525">
        <v>22</v>
      </c>
      <c r="C2525" t="s">
        <v>3086</v>
      </c>
      <c r="D2525" s="64">
        <f>VLOOKUP(C2525,'CHAS - Cook Co'!$C$1:$J$2762,2,FALSE) - VLOOKUP(C2525,'CHAS - Chicago'!$C$1:$J$2762,2,FALSE)</f>
        <v>1815</v>
      </c>
      <c r="E2525" t="s">
        <v>373</v>
      </c>
      <c r="F2525" s="71" t="s">
        <v>508</v>
      </c>
      <c r="G2525" s="71" t="s">
        <v>3017</v>
      </c>
      <c r="H2525" s="71" t="s">
        <v>2491</v>
      </c>
      <c r="I2525" s="71" t="s">
        <v>371</v>
      </c>
    </row>
    <row r="2526" spans="1:9" ht="43.5" x14ac:dyDescent="0.35">
      <c r="A2526">
        <v>18</v>
      </c>
      <c r="B2526">
        <v>23</v>
      </c>
      <c r="C2526" t="s">
        <v>3088</v>
      </c>
      <c r="D2526" s="64">
        <f>VLOOKUP(C2526,'CHAS - Cook Co'!$C$1:$J$2762,2,FALSE) - VLOOKUP(C2526,'CHAS - Chicago'!$C$1:$J$2762,2,FALSE)</f>
        <v>3690</v>
      </c>
      <c r="E2526" t="s">
        <v>373</v>
      </c>
      <c r="F2526" s="71" t="s">
        <v>3020</v>
      </c>
      <c r="G2526" s="71" t="s">
        <v>3017</v>
      </c>
      <c r="H2526" s="71" t="s">
        <v>3083</v>
      </c>
      <c r="I2526" s="71" t="s">
        <v>2805</v>
      </c>
    </row>
    <row r="2527" spans="1:9" ht="43.5" x14ac:dyDescent="0.35">
      <c r="A2527">
        <v>18</v>
      </c>
      <c r="B2527">
        <v>23</v>
      </c>
      <c r="C2527" t="s">
        <v>3090</v>
      </c>
      <c r="D2527" s="64">
        <f>VLOOKUP(C2527,'CHAS - Cook Co'!$C$1:$J$2762,2,FALSE) - VLOOKUP(C2527,'CHAS - Chicago'!$C$1:$J$2762,2,FALSE)</f>
        <v>5075</v>
      </c>
      <c r="E2527" t="s">
        <v>373</v>
      </c>
      <c r="F2527" s="71" t="s">
        <v>2510</v>
      </c>
      <c r="G2527" s="71" t="s">
        <v>3017</v>
      </c>
      <c r="H2527" s="71" t="s">
        <v>3083</v>
      </c>
      <c r="I2527" s="71" t="s">
        <v>2805</v>
      </c>
    </row>
    <row r="2528" spans="1:9" ht="43.5" x14ac:dyDescent="0.35">
      <c r="A2528">
        <v>18</v>
      </c>
      <c r="B2528">
        <v>23</v>
      </c>
      <c r="C2528" t="s">
        <v>3089</v>
      </c>
      <c r="D2528" s="64">
        <f>VLOOKUP(C2528,'CHAS - Cook Co'!$C$1:$J$2762,2,FALSE) - VLOOKUP(C2528,'CHAS - Chicago'!$C$1:$J$2762,2,FALSE)</f>
        <v>1590</v>
      </c>
      <c r="E2528" t="s">
        <v>373</v>
      </c>
      <c r="F2528" s="71" t="s">
        <v>508</v>
      </c>
      <c r="G2528" s="71" t="s">
        <v>3017</v>
      </c>
      <c r="H2528" s="71" t="s">
        <v>2491</v>
      </c>
      <c r="I2528" s="71" t="s">
        <v>2805</v>
      </c>
    </row>
    <row r="2529" spans="1:9" ht="43.5" x14ac:dyDescent="0.35">
      <c r="A2529">
        <v>18</v>
      </c>
      <c r="B2529">
        <v>24</v>
      </c>
      <c r="C2529" t="s">
        <v>3091</v>
      </c>
      <c r="D2529" s="64">
        <f>VLOOKUP(C2529,'CHAS - Cook Co'!$C$1:$J$2762,2,FALSE) - VLOOKUP(C2529,'CHAS - Chicago'!$C$1:$J$2762,2,FALSE)</f>
        <v>7425</v>
      </c>
      <c r="E2529" t="s">
        <v>373</v>
      </c>
      <c r="F2529" s="71" t="s">
        <v>3020</v>
      </c>
      <c r="G2529" s="71" t="s">
        <v>3017</v>
      </c>
      <c r="H2529" s="71" t="s">
        <v>3083</v>
      </c>
      <c r="I2529" s="71" t="s">
        <v>2827</v>
      </c>
    </row>
    <row r="2530" spans="1:9" ht="43.5" x14ac:dyDescent="0.35">
      <c r="A2530">
        <v>18</v>
      </c>
      <c r="B2530">
        <v>24</v>
      </c>
      <c r="C2530" t="s">
        <v>3092</v>
      </c>
      <c r="D2530" s="64">
        <f>VLOOKUP(C2530,'CHAS - Cook Co'!$C$1:$J$2762,2,FALSE) - VLOOKUP(C2530,'CHAS - Chicago'!$C$1:$J$2762,2,FALSE)</f>
        <v>7115</v>
      </c>
      <c r="E2530" t="s">
        <v>373</v>
      </c>
      <c r="F2530" s="71" t="s">
        <v>2510</v>
      </c>
      <c r="G2530" s="71" t="s">
        <v>3017</v>
      </c>
      <c r="H2530" s="71" t="s">
        <v>3083</v>
      </c>
      <c r="I2530" s="71" t="s">
        <v>2827</v>
      </c>
    </row>
    <row r="2531" spans="1:9" ht="43.5" x14ac:dyDescent="0.35">
      <c r="A2531">
        <v>18</v>
      </c>
      <c r="B2531">
        <v>24</v>
      </c>
      <c r="C2531" t="s">
        <v>3093</v>
      </c>
      <c r="D2531" s="64">
        <f>VLOOKUP(C2531,'CHAS - Cook Co'!$C$1:$J$2762,2,FALSE) - VLOOKUP(C2531,'CHAS - Chicago'!$C$1:$J$2762,2,FALSE)</f>
        <v>2485</v>
      </c>
      <c r="E2531" t="s">
        <v>373</v>
      </c>
      <c r="F2531" s="71" t="s">
        <v>508</v>
      </c>
      <c r="G2531" s="71" t="s">
        <v>3017</v>
      </c>
      <c r="H2531" s="71" t="s">
        <v>2491</v>
      </c>
      <c r="I2531" s="71" t="s">
        <v>2827</v>
      </c>
    </row>
    <row r="2532" spans="1:9" ht="43.5" x14ac:dyDescent="0.35">
      <c r="A2532">
        <v>18</v>
      </c>
      <c r="B2532">
        <v>25</v>
      </c>
      <c r="C2532" t="s">
        <v>3095</v>
      </c>
      <c r="D2532" s="64">
        <f>VLOOKUP(C2532,'CHAS - Cook Co'!$C$1:$J$2762,2,FALSE) - VLOOKUP(C2532,'CHAS - Chicago'!$C$1:$J$2762,2,FALSE)</f>
        <v>6355</v>
      </c>
      <c r="E2532" t="s">
        <v>373</v>
      </c>
      <c r="F2532" s="71" t="s">
        <v>3020</v>
      </c>
      <c r="G2532" s="71" t="s">
        <v>3017</v>
      </c>
      <c r="H2532" s="71" t="s">
        <v>3083</v>
      </c>
      <c r="I2532" s="71" t="s">
        <v>3035</v>
      </c>
    </row>
    <row r="2533" spans="1:9" ht="43.5" x14ac:dyDescent="0.35">
      <c r="A2533">
        <v>18</v>
      </c>
      <c r="B2533">
        <v>25</v>
      </c>
      <c r="C2533" t="s">
        <v>3096</v>
      </c>
      <c r="D2533" s="64">
        <f>VLOOKUP(C2533,'CHAS - Cook Co'!$C$1:$J$2762,2,FALSE) - VLOOKUP(C2533,'CHAS - Chicago'!$C$1:$J$2762,2,FALSE)</f>
        <v>4620</v>
      </c>
      <c r="E2533" t="s">
        <v>373</v>
      </c>
      <c r="F2533" s="71" t="s">
        <v>2510</v>
      </c>
      <c r="G2533" s="71" t="s">
        <v>3017</v>
      </c>
      <c r="H2533" s="71" t="s">
        <v>3083</v>
      </c>
      <c r="I2533" s="71" t="s">
        <v>3035</v>
      </c>
    </row>
    <row r="2534" spans="1:9" ht="43.5" x14ac:dyDescent="0.35">
      <c r="A2534">
        <v>18</v>
      </c>
      <c r="B2534">
        <v>25</v>
      </c>
      <c r="C2534" t="s">
        <v>3094</v>
      </c>
      <c r="D2534" s="64">
        <f>VLOOKUP(C2534,'CHAS - Cook Co'!$C$1:$J$2762,2,FALSE) - VLOOKUP(C2534,'CHAS - Chicago'!$C$1:$J$2762,2,FALSE)</f>
        <v>1725</v>
      </c>
      <c r="E2534" t="s">
        <v>373</v>
      </c>
      <c r="F2534" s="71" t="s">
        <v>508</v>
      </c>
      <c r="G2534" s="71" t="s">
        <v>3017</v>
      </c>
      <c r="H2534" s="71" t="s">
        <v>2491</v>
      </c>
      <c r="I2534" s="71" t="s">
        <v>3035</v>
      </c>
    </row>
    <row r="2535" spans="1:9" ht="29" x14ac:dyDescent="0.35">
      <c r="A2535">
        <v>18</v>
      </c>
      <c r="B2535">
        <v>26</v>
      </c>
      <c r="C2535" t="s">
        <v>3098</v>
      </c>
      <c r="D2535" s="64">
        <f>VLOOKUP(C2535,'CHAS - Cook Co'!$C$1:$J$2762,2,FALSE) - VLOOKUP(C2535,'CHAS - Chicago'!$C$1:$J$2762,2,FALSE)</f>
        <v>99785</v>
      </c>
      <c r="E2535" t="s">
        <v>373</v>
      </c>
      <c r="F2535" s="71" t="s">
        <v>3020</v>
      </c>
      <c r="G2535" s="71" t="s">
        <v>3017</v>
      </c>
      <c r="H2535" s="71" t="s">
        <v>3083</v>
      </c>
      <c r="I2535" s="71" t="s">
        <v>415</v>
      </c>
    </row>
    <row r="2536" spans="1:9" ht="29" x14ac:dyDescent="0.35">
      <c r="A2536">
        <v>18</v>
      </c>
      <c r="B2536">
        <v>26</v>
      </c>
      <c r="C2536" t="s">
        <v>3097</v>
      </c>
      <c r="D2536" s="64">
        <f>VLOOKUP(C2536,'CHAS - Cook Co'!$C$1:$J$2762,2,FALSE) - VLOOKUP(C2536,'CHAS - Chicago'!$C$1:$J$2762,2,FALSE)</f>
        <v>36000</v>
      </c>
      <c r="E2536" t="s">
        <v>373</v>
      </c>
      <c r="F2536" s="71" t="s">
        <v>2510</v>
      </c>
      <c r="G2536" s="71" t="s">
        <v>3017</v>
      </c>
      <c r="H2536" s="71" t="s">
        <v>3083</v>
      </c>
      <c r="I2536" s="71" t="s">
        <v>415</v>
      </c>
    </row>
    <row r="2537" spans="1:9" ht="29" x14ac:dyDescent="0.35">
      <c r="A2537">
        <v>18</v>
      </c>
      <c r="B2537">
        <v>26</v>
      </c>
      <c r="C2537" t="s">
        <v>3099</v>
      </c>
      <c r="D2537" s="64">
        <f>VLOOKUP(C2537,'CHAS - Cook Co'!$C$1:$J$2762,2,FALSE) - VLOOKUP(C2537,'CHAS - Chicago'!$C$1:$J$2762,2,FALSE)</f>
        <v>8410</v>
      </c>
      <c r="E2537" t="s">
        <v>373</v>
      </c>
      <c r="F2537" s="71" t="s">
        <v>508</v>
      </c>
      <c r="G2537" s="71" t="s">
        <v>3017</v>
      </c>
      <c r="H2537" s="71" t="s">
        <v>2491</v>
      </c>
      <c r="I2537" s="71" t="s">
        <v>415</v>
      </c>
    </row>
    <row r="2538" spans="1:9" ht="29" x14ac:dyDescent="0.35">
      <c r="A2538">
        <v>18</v>
      </c>
      <c r="B2538">
        <v>27</v>
      </c>
      <c r="C2538" t="s">
        <v>3103</v>
      </c>
      <c r="D2538" s="64">
        <f>VLOOKUP(C2538,'CHAS - Cook Co'!$C$1:$J$2762,2,FALSE) - VLOOKUP(C2538,'CHAS - Chicago'!$C$1:$J$2762,2,FALSE)</f>
        <v>19380</v>
      </c>
      <c r="E2538" t="s">
        <v>366</v>
      </c>
      <c r="F2538" s="71" t="s">
        <v>3020</v>
      </c>
      <c r="G2538" s="71" t="s">
        <v>3101</v>
      </c>
      <c r="H2538" s="71" t="s">
        <v>2502</v>
      </c>
      <c r="I2538" s="71" t="s">
        <v>363</v>
      </c>
    </row>
    <row r="2539" spans="1:9" ht="29" x14ac:dyDescent="0.35">
      <c r="A2539">
        <v>18</v>
      </c>
      <c r="B2539">
        <v>27</v>
      </c>
      <c r="C2539" t="s">
        <v>3100</v>
      </c>
      <c r="D2539" s="64">
        <f>VLOOKUP(C2539,'CHAS - Cook Co'!$C$1:$J$2762,2,FALSE) - VLOOKUP(C2539,'CHAS - Chicago'!$C$1:$J$2762,2,FALSE)</f>
        <v>10045</v>
      </c>
      <c r="E2539" t="s">
        <v>366</v>
      </c>
      <c r="F2539" s="71" t="s">
        <v>2510</v>
      </c>
      <c r="G2539" s="71" t="s">
        <v>3101</v>
      </c>
      <c r="H2539" s="71" t="s">
        <v>2502</v>
      </c>
      <c r="I2539" s="71" t="s">
        <v>363</v>
      </c>
    </row>
    <row r="2540" spans="1:9" ht="29" x14ac:dyDescent="0.35">
      <c r="A2540">
        <v>18</v>
      </c>
      <c r="B2540">
        <v>27</v>
      </c>
      <c r="C2540" t="s">
        <v>3102</v>
      </c>
      <c r="D2540" s="64">
        <f>VLOOKUP(C2540,'CHAS - Cook Co'!$C$1:$J$2762,2,FALSE) - VLOOKUP(C2540,'CHAS - Chicago'!$C$1:$J$2762,2,FALSE)</f>
        <v>52500</v>
      </c>
      <c r="E2540" t="s">
        <v>366</v>
      </c>
      <c r="F2540" s="71" t="s">
        <v>508</v>
      </c>
      <c r="G2540" s="71" t="s">
        <v>3101</v>
      </c>
      <c r="H2540" s="71" t="s">
        <v>2446</v>
      </c>
      <c r="I2540" s="71" t="s">
        <v>363</v>
      </c>
    </row>
    <row r="2541" spans="1:9" ht="29" x14ac:dyDescent="0.35">
      <c r="A2541">
        <v>18</v>
      </c>
      <c r="B2541">
        <v>28</v>
      </c>
      <c r="C2541" t="s">
        <v>3106</v>
      </c>
      <c r="D2541" s="64">
        <f>VLOOKUP(C2541,'CHAS - Cook Co'!$C$1:$J$2762,2,FALSE) - VLOOKUP(C2541,'CHAS - Chicago'!$C$1:$J$2762,2,FALSE)</f>
        <v>7540</v>
      </c>
      <c r="E2541" t="s">
        <v>366</v>
      </c>
      <c r="F2541" s="71" t="s">
        <v>3020</v>
      </c>
      <c r="G2541" s="71" t="s">
        <v>3101</v>
      </c>
      <c r="H2541" s="71" t="s">
        <v>3022</v>
      </c>
      <c r="I2541" s="71" t="s">
        <v>363</v>
      </c>
    </row>
    <row r="2542" spans="1:9" ht="29" x14ac:dyDescent="0.35">
      <c r="A2542">
        <v>18</v>
      </c>
      <c r="B2542">
        <v>28</v>
      </c>
      <c r="C2542" t="s">
        <v>3104</v>
      </c>
      <c r="D2542" s="64">
        <f>VLOOKUP(C2542,'CHAS - Cook Co'!$C$1:$J$2762,2,FALSE) - VLOOKUP(C2542,'CHAS - Chicago'!$C$1:$J$2762,2,FALSE)</f>
        <v>4340</v>
      </c>
      <c r="E2542" t="s">
        <v>366</v>
      </c>
      <c r="F2542" s="71" t="s">
        <v>2510</v>
      </c>
      <c r="G2542" s="71" t="s">
        <v>3101</v>
      </c>
      <c r="H2542" s="71" t="s">
        <v>3022</v>
      </c>
      <c r="I2542" s="71" t="s">
        <v>363</v>
      </c>
    </row>
    <row r="2543" spans="1:9" ht="29" x14ac:dyDescent="0.35">
      <c r="A2543">
        <v>18</v>
      </c>
      <c r="B2543">
        <v>28</v>
      </c>
      <c r="C2543" t="s">
        <v>3105</v>
      </c>
      <c r="D2543" s="64">
        <f>VLOOKUP(C2543,'CHAS - Cook Co'!$C$1:$J$2762,2,FALSE) - VLOOKUP(C2543,'CHAS - Chicago'!$C$1:$J$2762,2,FALSE)</f>
        <v>4360</v>
      </c>
      <c r="E2543" t="s">
        <v>366</v>
      </c>
      <c r="F2543" s="71" t="s">
        <v>508</v>
      </c>
      <c r="G2543" s="71" t="s">
        <v>3101</v>
      </c>
      <c r="H2543" s="71" t="s">
        <v>2456</v>
      </c>
      <c r="I2543" s="71" t="s">
        <v>363</v>
      </c>
    </row>
    <row r="2544" spans="1:9" ht="29" x14ac:dyDescent="0.35">
      <c r="A2544">
        <v>18</v>
      </c>
      <c r="B2544">
        <v>29</v>
      </c>
      <c r="C2544" t="s">
        <v>3109</v>
      </c>
      <c r="D2544" s="64">
        <f>VLOOKUP(C2544,'CHAS - Cook Co'!$C$1:$J$2762,2,FALSE) - VLOOKUP(C2544,'CHAS - Chicago'!$C$1:$J$2762,2,FALSE)</f>
        <v>785</v>
      </c>
      <c r="E2544" t="s">
        <v>373</v>
      </c>
      <c r="F2544" s="71" t="s">
        <v>3020</v>
      </c>
      <c r="G2544" s="71" t="s">
        <v>3101</v>
      </c>
      <c r="H2544" s="71" t="s">
        <v>3022</v>
      </c>
      <c r="I2544" s="71" t="s">
        <v>371</v>
      </c>
    </row>
    <row r="2545" spans="1:9" ht="29" x14ac:dyDescent="0.35">
      <c r="A2545">
        <v>18</v>
      </c>
      <c r="B2545">
        <v>29</v>
      </c>
      <c r="C2545" t="s">
        <v>3108</v>
      </c>
      <c r="D2545" s="64">
        <f>VLOOKUP(C2545,'CHAS - Cook Co'!$C$1:$J$2762,2,FALSE) - VLOOKUP(C2545,'CHAS - Chicago'!$C$1:$J$2762,2,FALSE)</f>
        <v>880</v>
      </c>
      <c r="E2545" t="s">
        <v>373</v>
      </c>
      <c r="F2545" s="71" t="s">
        <v>2510</v>
      </c>
      <c r="G2545" s="71" t="s">
        <v>3101</v>
      </c>
      <c r="H2545" s="71" t="s">
        <v>3022</v>
      </c>
      <c r="I2545" s="71" t="s">
        <v>371</v>
      </c>
    </row>
    <row r="2546" spans="1:9" ht="29" x14ac:dyDescent="0.35">
      <c r="A2546">
        <v>18</v>
      </c>
      <c r="B2546">
        <v>29</v>
      </c>
      <c r="C2546" t="s">
        <v>3107</v>
      </c>
      <c r="D2546" s="64">
        <f>VLOOKUP(C2546,'CHAS - Cook Co'!$C$1:$J$2762,2,FALSE) - VLOOKUP(C2546,'CHAS - Chicago'!$C$1:$J$2762,2,FALSE)</f>
        <v>2340</v>
      </c>
      <c r="E2546" t="s">
        <v>373</v>
      </c>
      <c r="F2546" s="71" t="s">
        <v>508</v>
      </c>
      <c r="G2546" s="71" t="s">
        <v>3101</v>
      </c>
      <c r="H2546" s="71" t="s">
        <v>2456</v>
      </c>
      <c r="I2546" s="71" t="s">
        <v>371</v>
      </c>
    </row>
    <row r="2547" spans="1:9" ht="43.5" x14ac:dyDescent="0.35">
      <c r="A2547">
        <v>18</v>
      </c>
      <c r="B2547">
        <v>30</v>
      </c>
      <c r="C2547" t="s">
        <v>3110</v>
      </c>
      <c r="D2547" s="64">
        <f>VLOOKUP(C2547,'CHAS - Cook Co'!$C$1:$J$2762,2,FALSE) - VLOOKUP(C2547,'CHAS - Chicago'!$C$1:$J$2762,2,FALSE)</f>
        <v>920</v>
      </c>
      <c r="E2547" t="s">
        <v>373</v>
      </c>
      <c r="F2547" s="71" t="s">
        <v>3020</v>
      </c>
      <c r="G2547" s="71" t="s">
        <v>3101</v>
      </c>
      <c r="H2547" s="71" t="s">
        <v>3022</v>
      </c>
      <c r="I2547" s="71" t="s">
        <v>2805</v>
      </c>
    </row>
    <row r="2548" spans="1:9" ht="43.5" x14ac:dyDescent="0.35">
      <c r="A2548">
        <v>18</v>
      </c>
      <c r="B2548">
        <v>30</v>
      </c>
      <c r="C2548" t="s">
        <v>3112</v>
      </c>
      <c r="D2548" s="64">
        <f>VLOOKUP(C2548,'CHAS - Cook Co'!$C$1:$J$2762,2,FALSE) - VLOOKUP(C2548,'CHAS - Chicago'!$C$1:$J$2762,2,FALSE)</f>
        <v>855</v>
      </c>
      <c r="E2548" t="s">
        <v>373</v>
      </c>
      <c r="F2548" s="71" t="s">
        <v>2510</v>
      </c>
      <c r="G2548" s="71" t="s">
        <v>3101</v>
      </c>
      <c r="H2548" s="71" t="s">
        <v>3022</v>
      </c>
      <c r="I2548" s="71" t="s">
        <v>2805</v>
      </c>
    </row>
    <row r="2549" spans="1:9" ht="43.5" x14ac:dyDescent="0.35">
      <c r="A2549">
        <v>18</v>
      </c>
      <c r="B2549">
        <v>30</v>
      </c>
      <c r="C2549" t="s">
        <v>3111</v>
      </c>
      <c r="D2549" s="64">
        <f>VLOOKUP(C2549,'CHAS - Cook Co'!$C$1:$J$2762,2,FALSE) - VLOOKUP(C2549,'CHAS - Chicago'!$C$1:$J$2762,2,FALSE)</f>
        <v>645</v>
      </c>
      <c r="E2549" t="s">
        <v>373</v>
      </c>
      <c r="F2549" s="71" t="s">
        <v>508</v>
      </c>
      <c r="G2549" s="71" t="s">
        <v>3101</v>
      </c>
      <c r="H2549" s="71" t="s">
        <v>2456</v>
      </c>
      <c r="I2549" s="71" t="s">
        <v>2805</v>
      </c>
    </row>
    <row r="2550" spans="1:9" ht="43.5" x14ac:dyDescent="0.35">
      <c r="A2550">
        <v>18</v>
      </c>
      <c r="B2550">
        <v>31</v>
      </c>
      <c r="C2550" t="s">
        <v>3115</v>
      </c>
      <c r="D2550" s="64">
        <f>VLOOKUP(C2550,'CHAS - Cook Co'!$C$1:$J$2762,2,FALSE) - VLOOKUP(C2550,'CHAS - Chicago'!$C$1:$J$2762,2,FALSE)</f>
        <v>1765</v>
      </c>
      <c r="E2550" t="s">
        <v>373</v>
      </c>
      <c r="F2550" s="71" t="s">
        <v>3020</v>
      </c>
      <c r="G2550" s="71" t="s">
        <v>3101</v>
      </c>
      <c r="H2550" s="71" t="s">
        <v>3022</v>
      </c>
      <c r="I2550" s="71" t="s">
        <v>2827</v>
      </c>
    </row>
    <row r="2551" spans="1:9" ht="43.5" x14ac:dyDescent="0.35">
      <c r="A2551">
        <v>18</v>
      </c>
      <c r="B2551">
        <v>31</v>
      </c>
      <c r="C2551" t="s">
        <v>3113</v>
      </c>
      <c r="D2551" s="64">
        <f>VLOOKUP(C2551,'CHAS - Cook Co'!$C$1:$J$2762,2,FALSE) - VLOOKUP(C2551,'CHAS - Chicago'!$C$1:$J$2762,2,FALSE)</f>
        <v>1260</v>
      </c>
      <c r="E2551" t="s">
        <v>373</v>
      </c>
      <c r="F2551" s="71" t="s">
        <v>2510</v>
      </c>
      <c r="G2551" s="71" t="s">
        <v>3101</v>
      </c>
      <c r="H2551" s="71" t="s">
        <v>3022</v>
      </c>
      <c r="I2551" s="71" t="s">
        <v>2827</v>
      </c>
    </row>
    <row r="2552" spans="1:9" ht="43.5" x14ac:dyDescent="0.35">
      <c r="A2552">
        <v>18</v>
      </c>
      <c r="B2552">
        <v>31</v>
      </c>
      <c r="C2552" t="s">
        <v>3114</v>
      </c>
      <c r="D2552" s="64">
        <f>VLOOKUP(C2552,'CHAS - Cook Co'!$C$1:$J$2762,2,FALSE) - VLOOKUP(C2552,'CHAS - Chicago'!$C$1:$J$2762,2,FALSE)</f>
        <v>635</v>
      </c>
      <c r="E2552" t="s">
        <v>373</v>
      </c>
      <c r="F2552" s="71" t="s">
        <v>508</v>
      </c>
      <c r="G2552" s="71" t="s">
        <v>3101</v>
      </c>
      <c r="H2552" s="71" t="s">
        <v>2456</v>
      </c>
      <c r="I2552" s="71" t="s">
        <v>2827</v>
      </c>
    </row>
    <row r="2553" spans="1:9" ht="43.5" x14ac:dyDescent="0.35">
      <c r="A2553">
        <v>18</v>
      </c>
      <c r="B2553">
        <v>32</v>
      </c>
      <c r="C2553" t="s">
        <v>3117</v>
      </c>
      <c r="D2553" s="64">
        <f>VLOOKUP(C2553,'CHAS - Cook Co'!$C$1:$J$2762,2,FALSE) - VLOOKUP(C2553,'CHAS - Chicago'!$C$1:$J$2762,2,FALSE)</f>
        <v>1245</v>
      </c>
      <c r="E2553" t="s">
        <v>373</v>
      </c>
      <c r="F2553" s="71" t="s">
        <v>3020</v>
      </c>
      <c r="G2553" s="71" t="s">
        <v>3101</v>
      </c>
      <c r="H2553" s="71" t="s">
        <v>3022</v>
      </c>
      <c r="I2553" s="71" t="s">
        <v>3035</v>
      </c>
    </row>
    <row r="2554" spans="1:9" ht="43.5" x14ac:dyDescent="0.35">
      <c r="A2554">
        <v>18</v>
      </c>
      <c r="B2554">
        <v>32</v>
      </c>
      <c r="C2554" t="s">
        <v>3116</v>
      </c>
      <c r="D2554" s="64">
        <f>VLOOKUP(C2554,'CHAS - Cook Co'!$C$1:$J$2762,2,FALSE) - VLOOKUP(C2554,'CHAS - Chicago'!$C$1:$J$2762,2,FALSE)</f>
        <v>440</v>
      </c>
      <c r="E2554" t="s">
        <v>373</v>
      </c>
      <c r="F2554" s="71" t="s">
        <v>2510</v>
      </c>
      <c r="G2554" s="71" t="s">
        <v>3101</v>
      </c>
      <c r="H2554" s="71" t="s">
        <v>3022</v>
      </c>
      <c r="I2554" s="71" t="s">
        <v>3035</v>
      </c>
    </row>
    <row r="2555" spans="1:9" ht="43.5" x14ac:dyDescent="0.35">
      <c r="A2555">
        <v>18</v>
      </c>
      <c r="B2555">
        <v>32</v>
      </c>
      <c r="C2555" t="s">
        <v>3118</v>
      </c>
      <c r="D2555" s="64">
        <f>VLOOKUP(C2555,'CHAS - Cook Co'!$C$1:$J$2762,2,FALSE) - VLOOKUP(C2555,'CHAS - Chicago'!$C$1:$J$2762,2,FALSE)</f>
        <v>255</v>
      </c>
      <c r="E2555" t="s">
        <v>373</v>
      </c>
      <c r="F2555" s="71" t="s">
        <v>508</v>
      </c>
      <c r="G2555" s="71" t="s">
        <v>3101</v>
      </c>
      <c r="H2555" s="71" t="s">
        <v>2456</v>
      </c>
      <c r="I2555" s="71" t="s">
        <v>3035</v>
      </c>
    </row>
    <row r="2556" spans="1:9" ht="29" x14ac:dyDescent="0.35">
      <c r="A2556">
        <v>18</v>
      </c>
      <c r="B2556">
        <v>33</v>
      </c>
      <c r="C2556" t="s">
        <v>3119</v>
      </c>
      <c r="D2556" s="64">
        <f>VLOOKUP(C2556,'CHAS - Cook Co'!$C$1:$J$2762,2,FALSE) - VLOOKUP(C2556,'CHAS - Chicago'!$C$1:$J$2762,2,FALSE)</f>
        <v>2820</v>
      </c>
      <c r="E2556" t="s">
        <v>373</v>
      </c>
      <c r="F2556" s="71" t="s">
        <v>3020</v>
      </c>
      <c r="G2556" s="71" t="s">
        <v>3101</v>
      </c>
      <c r="H2556" s="71" t="s">
        <v>3022</v>
      </c>
      <c r="I2556" s="71" t="s">
        <v>415</v>
      </c>
    </row>
    <row r="2557" spans="1:9" ht="29" x14ac:dyDescent="0.35">
      <c r="A2557">
        <v>18</v>
      </c>
      <c r="B2557">
        <v>33</v>
      </c>
      <c r="C2557" t="s">
        <v>3120</v>
      </c>
      <c r="D2557" s="64">
        <f>VLOOKUP(C2557,'CHAS - Cook Co'!$C$1:$J$2762,2,FALSE) - VLOOKUP(C2557,'CHAS - Chicago'!$C$1:$J$2762,2,FALSE)</f>
        <v>910</v>
      </c>
      <c r="E2557" t="s">
        <v>373</v>
      </c>
      <c r="F2557" s="71" t="s">
        <v>2510</v>
      </c>
      <c r="G2557" s="71" t="s">
        <v>3101</v>
      </c>
      <c r="H2557" s="71" t="s">
        <v>3022</v>
      </c>
      <c r="I2557" s="71" t="s">
        <v>415</v>
      </c>
    </row>
    <row r="2558" spans="1:9" ht="29" x14ac:dyDescent="0.35">
      <c r="A2558">
        <v>18</v>
      </c>
      <c r="B2558">
        <v>33</v>
      </c>
      <c r="C2558" t="s">
        <v>3121</v>
      </c>
      <c r="D2558" s="64">
        <f>VLOOKUP(C2558,'CHAS - Cook Co'!$C$1:$J$2762,2,FALSE) - VLOOKUP(C2558,'CHAS - Chicago'!$C$1:$J$2762,2,FALSE)</f>
        <v>485</v>
      </c>
      <c r="E2558" t="s">
        <v>373</v>
      </c>
      <c r="F2558" s="71" t="s">
        <v>508</v>
      </c>
      <c r="G2558" s="71" t="s">
        <v>3101</v>
      </c>
      <c r="H2558" s="71" t="s">
        <v>2456</v>
      </c>
      <c r="I2558" s="71" t="s">
        <v>415</v>
      </c>
    </row>
    <row r="2559" spans="1:9" ht="43.5" x14ac:dyDescent="0.35">
      <c r="A2559">
        <v>18</v>
      </c>
      <c r="B2559">
        <v>34</v>
      </c>
      <c r="C2559" t="s">
        <v>3122</v>
      </c>
      <c r="D2559" s="64">
        <f>VLOOKUP(C2559,'CHAS - Cook Co'!$C$1:$J$2762,2,FALSE) - VLOOKUP(C2559,'CHAS - Chicago'!$C$1:$J$2762,2,FALSE)</f>
        <v>7445</v>
      </c>
      <c r="E2559" t="s">
        <v>366</v>
      </c>
      <c r="F2559" s="71" t="s">
        <v>3020</v>
      </c>
      <c r="G2559" s="71" t="s">
        <v>3101</v>
      </c>
      <c r="H2559" s="71" t="s">
        <v>3044</v>
      </c>
      <c r="I2559" s="71" t="s">
        <v>363</v>
      </c>
    </row>
    <row r="2560" spans="1:9" ht="43.5" x14ac:dyDescent="0.35">
      <c r="A2560">
        <v>18</v>
      </c>
      <c r="B2560">
        <v>34</v>
      </c>
      <c r="C2560" t="s">
        <v>3123</v>
      </c>
      <c r="D2560" s="64">
        <f>VLOOKUP(C2560,'CHAS - Cook Co'!$C$1:$J$2762,2,FALSE) - VLOOKUP(C2560,'CHAS - Chicago'!$C$1:$J$2762,2,FALSE)</f>
        <v>3335</v>
      </c>
      <c r="E2560" t="s">
        <v>366</v>
      </c>
      <c r="F2560" s="71" t="s">
        <v>2510</v>
      </c>
      <c r="G2560" s="71" t="s">
        <v>3101</v>
      </c>
      <c r="H2560" s="71" t="s">
        <v>3044</v>
      </c>
      <c r="I2560" s="71" t="s">
        <v>363</v>
      </c>
    </row>
    <row r="2561" spans="1:9" ht="29" x14ac:dyDescent="0.35">
      <c r="A2561">
        <v>18</v>
      </c>
      <c r="B2561">
        <v>34</v>
      </c>
      <c r="C2561" t="s">
        <v>3124</v>
      </c>
      <c r="D2561" s="64">
        <f>VLOOKUP(C2561,'CHAS - Cook Co'!$C$1:$J$2762,2,FALSE) - VLOOKUP(C2561,'CHAS - Chicago'!$C$1:$J$2762,2,FALSE)</f>
        <v>18640</v>
      </c>
      <c r="E2561" t="s">
        <v>366</v>
      </c>
      <c r="F2561" s="71" t="s">
        <v>508</v>
      </c>
      <c r="G2561" s="71" t="s">
        <v>3101</v>
      </c>
      <c r="H2561" s="71" t="s">
        <v>3042</v>
      </c>
      <c r="I2561" s="71" t="s">
        <v>363</v>
      </c>
    </row>
    <row r="2562" spans="1:9" ht="43.5" x14ac:dyDescent="0.35">
      <c r="A2562">
        <v>18</v>
      </c>
      <c r="B2562">
        <v>35</v>
      </c>
      <c r="C2562" t="s">
        <v>3125</v>
      </c>
      <c r="D2562" s="64">
        <f>VLOOKUP(C2562,'CHAS - Cook Co'!$C$1:$J$2762,2,FALSE) - VLOOKUP(C2562,'CHAS - Chicago'!$C$1:$J$2762,2,FALSE)</f>
        <v>510</v>
      </c>
      <c r="E2562" t="s">
        <v>373</v>
      </c>
      <c r="F2562" s="71" t="s">
        <v>3020</v>
      </c>
      <c r="G2562" s="71" t="s">
        <v>3101</v>
      </c>
      <c r="H2562" s="71" t="s">
        <v>3044</v>
      </c>
      <c r="I2562" s="71" t="s">
        <v>371</v>
      </c>
    </row>
    <row r="2563" spans="1:9" ht="43.5" x14ac:dyDescent="0.35">
      <c r="A2563">
        <v>18</v>
      </c>
      <c r="B2563">
        <v>35</v>
      </c>
      <c r="C2563" t="s">
        <v>3126</v>
      </c>
      <c r="D2563" s="64">
        <f>VLOOKUP(C2563,'CHAS - Cook Co'!$C$1:$J$2762,2,FALSE) - VLOOKUP(C2563,'CHAS - Chicago'!$C$1:$J$2762,2,FALSE)</f>
        <v>685</v>
      </c>
      <c r="E2563" t="s">
        <v>373</v>
      </c>
      <c r="F2563" s="71" t="s">
        <v>2510</v>
      </c>
      <c r="G2563" s="71" t="s">
        <v>3101</v>
      </c>
      <c r="H2563" s="71" t="s">
        <v>3044</v>
      </c>
      <c r="I2563" s="71" t="s">
        <v>371</v>
      </c>
    </row>
    <row r="2564" spans="1:9" ht="29" x14ac:dyDescent="0.35">
      <c r="A2564">
        <v>18</v>
      </c>
      <c r="B2564">
        <v>35</v>
      </c>
      <c r="C2564" t="s">
        <v>3127</v>
      </c>
      <c r="D2564" s="64">
        <f>VLOOKUP(C2564,'CHAS - Cook Co'!$C$1:$J$2762,2,FALSE) - VLOOKUP(C2564,'CHAS - Chicago'!$C$1:$J$2762,2,FALSE)</f>
        <v>6170</v>
      </c>
      <c r="E2564" t="s">
        <v>373</v>
      </c>
      <c r="F2564" s="71" t="s">
        <v>508</v>
      </c>
      <c r="G2564" s="71" t="s">
        <v>3101</v>
      </c>
      <c r="H2564" s="71" t="s">
        <v>3042</v>
      </c>
      <c r="I2564" s="71" t="s">
        <v>371</v>
      </c>
    </row>
    <row r="2565" spans="1:9" ht="43.5" x14ac:dyDescent="0.35">
      <c r="A2565">
        <v>18</v>
      </c>
      <c r="B2565">
        <v>36</v>
      </c>
      <c r="C2565" t="s">
        <v>3129</v>
      </c>
      <c r="D2565" s="64">
        <f>VLOOKUP(C2565,'CHAS - Cook Co'!$C$1:$J$2762,2,FALSE) - VLOOKUP(C2565,'CHAS - Chicago'!$C$1:$J$2762,2,FALSE)</f>
        <v>915</v>
      </c>
      <c r="E2565" t="s">
        <v>373</v>
      </c>
      <c r="F2565" s="71" t="s">
        <v>3020</v>
      </c>
      <c r="G2565" s="71" t="s">
        <v>3101</v>
      </c>
      <c r="H2565" s="71" t="s">
        <v>3044</v>
      </c>
      <c r="I2565" s="71" t="s">
        <v>2805</v>
      </c>
    </row>
    <row r="2566" spans="1:9" ht="43.5" x14ac:dyDescent="0.35">
      <c r="A2566">
        <v>18</v>
      </c>
      <c r="B2566">
        <v>36</v>
      </c>
      <c r="C2566" t="s">
        <v>3128</v>
      </c>
      <c r="D2566" s="64">
        <f>VLOOKUP(C2566,'CHAS - Cook Co'!$C$1:$J$2762,2,FALSE) - VLOOKUP(C2566,'CHAS - Chicago'!$C$1:$J$2762,2,FALSE)</f>
        <v>550</v>
      </c>
      <c r="E2566" t="s">
        <v>373</v>
      </c>
      <c r="F2566" s="71" t="s">
        <v>2510</v>
      </c>
      <c r="G2566" s="71" t="s">
        <v>3101</v>
      </c>
      <c r="H2566" s="71" t="s">
        <v>3044</v>
      </c>
      <c r="I2566" s="71" t="s">
        <v>2805</v>
      </c>
    </row>
    <row r="2567" spans="1:9" ht="43.5" x14ac:dyDescent="0.35">
      <c r="A2567">
        <v>18</v>
      </c>
      <c r="B2567">
        <v>36</v>
      </c>
      <c r="C2567" t="s">
        <v>3130</v>
      </c>
      <c r="D2567" s="64">
        <f>VLOOKUP(C2567,'CHAS - Cook Co'!$C$1:$J$2762,2,FALSE) - VLOOKUP(C2567,'CHAS - Chicago'!$C$1:$J$2762,2,FALSE)</f>
        <v>4565</v>
      </c>
      <c r="E2567" t="s">
        <v>373</v>
      </c>
      <c r="F2567" s="71" t="s">
        <v>508</v>
      </c>
      <c r="G2567" s="71" t="s">
        <v>3101</v>
      </c>
      <c r="H2567" s="71" t="s">
        <v>3042</v>
      </c>
      <c r="I2567" s="71" t="s">
        <v>2805</v>
      </c>
    </row>
    <row r="2568" spans="1:9" ht="43.5" x14ac:dyDescent="0.35">
      <c r="A2568">
        <v>18</v>
      </c>
      <c r="B2568">
        <v>37</v>
      </c>
      <c r="C2568" t="s">
        <v>3131</v>
      </c>
      <c r="D2568" s="64">
        <f>VLOOKUP(C2568,'CHAS - Cook Co'!$C$1:$J$2762,2,FALSE) - VLOOKUP(C2568,'CHAS - Chicago'!$C$1:$J$2762,2,FALSE)</f>
        <v>1550</v>
      </c>
      <c r="E2568" t="s">
        <v>373</v>
      </c>
      <c r="F2568" s="71" t="s">
        <v>3020</v>
      </c>
      <c r="G2568" s="71" t="s">
        <v>3101</v>
      </c>
      <c r="H2568" s="71" t="s">
        <v>3044</v>
      </c>
      <c r="I2568" s="71" t="s">
        <v>2827</v>
      </c>
    </row>
    <row r="2569" spans="1:9" ht="43.5" x14ac:dyDescent="0.35">
      <c r="A2569">
        <v>18</v>
      </c>
      <c r="B2569">
        <v>37</v>
      </c>
      <c r="C2569" t="s">
        <v>3132</v>
      </c>
      <c r="D2569" s="64">
        <f>VLOOKUP(C2569,'CHAS - Cook Co'!$C$1:$J$2762,2,FALSE) - VLOOKUP(C2569,'CHAS - Chicago'!$C$1:$J$2762,2,FALSE)</f>
        <v>805</v>
      </c>
      <c r="E2569" t="s">
        <v>373</v>
      </c>
      <c r="F2569" s="71" t="s">
        <v>2510</v>
      </c>
      <c r="G2569" s="71" t="s">
        <v>3101</v>
      </c>
      <c r="H2569" s="71" t="s">
        <v>3044</v>
      </c>
      <c r="I2569" s="71" t="s">
        <v>2827</v>
      </c>
    </row>
    <row r="2570" spans="1:9" ht="43.5" x14ac:dyDescent="0.35">
      <c r="A2570">
        <v>18</v>
      </c>
      <c r="B2570">
        <v>37</v>
      </c>
      <c r="C2570" t="s">
        <v>3133</v>
      </c>
      <c r="D2570" s="64">
        <f>VLOOKUP(C2570,'CHAS - Cook Co'!$C$1:$J$2762,2,FALSE) - VLOOKUP(C2570,'CHAS - Chicago'!$C$1:$J$2762,2,FALSE)</f>
        <v>4355</v>
      </c>
      <c r="E2570" t="s">
        <v>373</v>
      </c>
      <c r="F2570" s="71" t="s">
        <v>508</v>
      </c>
      <c r="G2570" s="71" t="s">
        <v>3101</v>
      </c>
      <c r="H2570" s="71" t="s">
        <v>3042</v>
      </c>
      <c r="I2570" s="71" t="s">
        <v>2827</v>
      </c>
    </row>
    <row r="2571" spans="1:9" ht="43.5" x14ac:dyDescent="0.35">
      <c r="A2571">
        <v>18</v>
      </c>
      <c r="B2571">
        <v>38</v>
      </c>
      <c r="C2571" t="s">
        <v>3136</v>
      </c>
      <c r="D2571" s="64">
        <f>VLOOKUP(C2571,'CHAS - Cook Co'!$C$1:$J$2762,2,FALSE) - VLOOKUP(C2571,'CHAS - Chicago'!$C$1:$J$2762,2,FALSE)</f>
        <v>955</v>
      </c>
      <c r="E2571" t="s">
        <v>373</v>
      </c>
      <c r="F2571" s="71" t="s">
        <v>3020</v>
      </c>
      <c r="G2571" s="71" t="s">
        <v>3101</v>
      </c>
      <c r="H2571" s="71" t="s">
        <v>3044</v>
      </c>
      <c r="I2571" s="71" t="s">
        <v>3035</v>
      </c>
    </row>
    <row r="2572" spans="1:9" ht="43.5" x14ac:dyDescent="0.35">
      <c r="A2572">
        <v>18</v>
      </c>
      <c r="B2572">
        <v>38</v>
      </c>
      <c r="C2572" t="s">
        <v>3135</v>
      </c>
      <c r="D2572" s="64">
        <f>VLOOKUP(C2572,'CHAS - Cook Co'!$C$1:$J$2762,2,FALSE) - VLOOKUP(C2572,'CHAS - Chicago'!$C$1:$J$2762,2,FALSE)</f>
        <v>370</v>
      </c>
      <c r="E2572" t="s">
        <v>373</v>
      </c>
      <c r="F2572" s="71" t="s">
        <v>2510</v>
      </c>
      <c r="G2572" s="71" t="s">
        <v>3101</v>
      </c>
      <c r="H2572" s="71" t="s">
        <v>3044</v>
      </c>
      <c r="I2572" s="71" t="s">
        <v>3035</v>
      </c>
    </row>
    <row r="2573" spans="1:9" ht="43.5" x14ac:dyDescent="0.35">
      <c r="A2573">
        <v>18</v>
      </c>
      <c r="B2573">
        <v>38</v>
      </c>
      <c r="C2573" t="s">
        <v>3134</v>
      </c>
      <c r="D2573" s="64">
        <f>VLOOKUP(C2573,'CHAS - Cook Co'!$C$1:$J$2762,2,FALSE) - VLOOKUP(C2573,'CHAS - Chicago'!$C$1:$J$2762,2,FALSE)</f>
        <v>1580</v>
      </c>
      <c r="E2573" t="s">
        <v>373</v>
      </c>
      <c r="F2573" s="71" t="s">
        <v>508</v>
      </c>
      <c r="G2573" s="71" t="s">
        <v>3101</v>
      </c>
      <c r="H2573" s="71" t="s">
        <v>3042</v>
      </c>
      <c r="I2573" s="71" t="s">
        <v>3035</v>
      </c>
    </row>
    <row r="2574" spans="1:9" ht="43.5" x14ac:dyDescent="0.35">
      <c r="A2574">
        <v>18</v>
      </c>
      <c r="B2574">
        <v>39</v>
      </c>
      <c r="C2574" t="s">
        <v>3137</v>
      </c>
      <c r="D2574" s="64">
        <f>VLOOKUP(C2574,'CHAS - Cook Co'!$C$1:$J$2762,2,FALSE) - VLOOKUP(C2574,'CHAS - Chicago'!$C$1:$J$2762,2,FALSE)</f>
        <v>3510</v>
      </c>
      <c r="E2574" t="s">
        <v>373</v>
      </c>
      <c r="F2574" s="71" t="s">
        <v>3020</v>
      </c>
      <c r="G2574" s="71" t="s">
        <v>3101</v>
      </c>
      <c r="H2574" s="71" t="s">
        <v>3044</v>
      </c>
      <c r="I2574" s="71" t="s">
        <v>415</v>
      </c>
    </row>
    <row r="2575" spans="1:9" ht="43.5" x14ac:dyDescent="0.35">
      <c r="A2575">
        <v>18</v>
      </c>
      <c r="B2575">
        <v>39</v>
      </c>
      <c r="C2575" t="s">
        <v>3139</v>
      </c>
      <c r="D2575" s="64">
        <f>VLOOKUP(C2575,'CHAS - Cook Co'!$C$1:$J$2762,2,FALSE) - VLOOKUP(C2575,'CHAS - Chicago'!$C$1:$J$2762,2,FALSE)</f>
        <v>925</v>
      </c>
      <c r="E2575" t="s">
        <v>373</v>
      </c>
      <c r="F2575" s="71" t="s">
        <v>2510</v>
      </c>
      <c r="G2575" s="71" t="s">
        <v>3101</v>
      </c>
      <c r="H2575" s="71" t="s">
        <v>3044</v>
      </c>
      <c r="I2575" s="71" t="s">
        <v>415</v>
      </c>
    </row>
    <row r="2576" spans="1:9" ht="29" x14ac:dyDescent="0.35">
      <c r="A2576">
        <v>18</v>
      </c>
      <c r="B2576">
        <v>39</v>
      </c>
      <c r="C2576" t="s">
        <v>3138</v>
      </c>
      <c r="D2576" s="64">
        <f>VLOOKUP(C2576,'CHAS - Cook Co'!$C$1:$J$2762,2,FALSE) - VLOOKUP(C2576,'CHAS - Chicago'!$C$1:$J$2762,2,FALSE)</f>
        <v>1975</v>
      </c>
      <c r="E2576" t="s">
        <v>373</v>
      </c>
      <c r="F2576" s="71" t="s">
        <v>508</v>
      </c>
      <c r="G2576" s="71" t="s">
        <v>3101</v>
      </c>
      <c r="H2576" s="71" t="s">
        <v>3042</v>
      </c>
      <c r="I2576" s="71" t="s">
        <v>415</v>
      </c>
    </row>
    <row r="2577" spans="1:9" ht="43.5" x14ac:dyDescent="0.35">
      <c r="A2577">
        <v>18</v>
      </c>
      <c r="B2577">
        <v>40</v>
      </c>
      <c r="C2577" t="s">
        <v>3141</v>
      </c>
      <c r="D2577" s="64">
        <f>VLOOKUP(C2577,'CHAS - Cook Co'!$C$1:$J$2762,2,FALSE) - VLOOKUP(C2577,'CHAS - Chicago'!$C$1:$J$2762,2,FALSE)</f>
        <v>1735</v>
      </c>
      <c r="E2577" t="s">
        <v>366</v>
      </c>
      <c r="F2577" s="71" t="s">
        <v>3020</v>
      </c>
      <c r="G2577" s="71" t="s">
        <v>3101</v>
      </c>
      <c r="H2577" s="71" t="s">
        <v>3064</v>
      </c>
      <c r="I2577" s="71" t="s">
        <v>363</v>
      </c>
    </row>
    <row r="2578" spans="1:9" ht="43.5" x14ac:dyDescent="0.35">
      <c r="A2578">
        <v>18</v>
      </c>
      <c r="B2578">
        <v>40</v>
      </c>
      <c r="C2578" t="s">
        <v>3142</v>
      </c>
      <c r="D2578" s="64">
        <f>VLOOKUP(C2578,'CHAS - Cook Co'!$C$1:$J$2762,2,FALSE) - VLOOKUP(C2578,'CHAS - Chicago'!$C$1:$J$2762,2,FALSE)</f>
        <v>700</v>
      </c>
      <c r="E2578" t="s">
        <v>366</v>
      </c>
      <c r="F2578" s="71" t="s">
        <v>2510</v>
      </c>
      <c r="G2578" s="71" t="s">
        <v>3101</v>
      </c>
      <c r="H2578" s="71" t="s">
        <v>3064</v>
      </c>
      <c r="I2578" s="71" t="s">
        <v>363</v>
      </c>
    </row>
    <row r="2579" spans="1:9" ht="29" x14ac:dyDescent="0.35">
      <c r="A2579">
        <v>18</v>
      </c>
      <c r="B2579">
        <v>40</v>
      </c>
      <c r="C2579" t="s">
        <v>3140</v>
      </c>
      <c r="D2579" s="64">
        <f>VLOOKUP(C2579,'CHAS - Cook Co'!$C$1:$J$2762,2,FALSE) - VLOOKUP(C2579,'CHAS - Chicago'!$C$1:$J$2762,2,FALSE)</f>
        <v>26010</v>
      </c>
      <c r="E2579" t="s">
        <v>366</v>
      </c>
      <c r="F2579" s="71" t="s">
        <v>508</v>
      </c>
      <c r="G2579" s="71" t="s">
        <v>3101</v>
      </c>
      <c r="H2579" s="71" t="s">
        <v>3062</v>
      </c>
      <c r="I2579" s="71" t="s">
        <v>363</v>
      </c>
    </row>
    <row r="2580" spans="1:9" ht="43.5" x14ac:dyDescent="0.35">
      <c r="A2580">
        <v>18</v>
      </c>
      <c r="B2580">
        <v>41</v>
      </c>
      <c r="C2580" t="s">
        <v>3143</v>
      </c>
      <c r="D2580" s="64">
        <f>VLOOKUP(C2580,'CHAS - Cook Co'!$C$1:$J$2762,2,FALSE) - VLOOKUP(C2580,'CHAS - Chicago'!$C$1:$J$2762,2,FALSE)</f>
        <v>55</v>
      </c>
      <c r="E2580" t="s">
        <v>373</v>
      </c>
      <c r="F2580" s="71" t="s">
        <v>3020</v>
      </c>
      <c r="G2580" s="71" t="s">
        <v>3101</v>
      </c>
      <c r="H2580" s="71" t="s">
        <v>3064</v>
      </c>
      <c r="I2580" s="71" t="s">
        <v>371</v>
      </c>
    </row>
    <row r="2581" spans="1:9" ht="43.5" x14ac:dyDescent="0.35">
      <c r="A2581">
        <v>18</v>
      </c>
      <c r="B2581">
        <v>41</v>
      </c>
      <c r="C2581" t="s">
        <v>3144</v>
      </c>
      <c r="D2581" s="64">
        <f>VLOOKUP(C2581,'CHAS - Cook Co'!$C$1:$J$2762,2,FALSE) - VLOOKUP(C2581,'CHAS - Chicago'!$C$1:$J$2762,2,FALSE)</f>
        <v>85</v>
      </c>
      <c r="E2581" t="s">
        <v>373</v>
      </c>
      <c r="F2581" s="71" t="s">
        <v>2510</v>
      </c>
      <c r="G2581" s="71" t="s">
        <v>3101</v>
      </c>
      <c r="H2581" s="71" t="s">
        <v>3064</v>
      </c>
      <c r="I2581" s="71" t="s">
        <v>371</v>
      </c>
    </row>
    <row r="2582" spans="1:9" ht="29" x14ac:dyDescent="0.35">
      <c r="A2582">
        <v>18</v>
      </c>
      <c r="B2582">
        <v>41</v>
      </c>
      <c r="C2582" t="s">
        <v>3145</v>
      </c>
      <c r="D2582" s="64">
        <f>VLOOKUP(C2582,'CHAS - Cook Co'!$C$1:$J$2762,2,FALSE) - VLOOKUP(C2582,'CHAS - Chicago'!$C$1:$J$2762,2,FALSE)</f>
        <v>5575</v>
      </c>
      <c r="E2582" t="s">
        <v>373</v>
      </c>
      <c r="F2582" s="71" t="s">
        <v>508</v>
      </c>
      <c r="G2582" s="71" t="s">
        <v>3101</v>
      </c>
      <c r="H2582" s="71" t="s">
        <v>3062</v>
      </c>
      <c r="I2582" s="71" t="s">
        <v>371</v>
      </c>
    </row>
    <row r="2583" spans="1:9" ht="43.5" x14ac:dyDescent="0.35">
      <c r="A2583">
        <v>18</v>
      </c>
      <c r="B2583">
        <v>42</v>
      </c>
      <c r="C2583" t="s">
        <v>3147</v>
      </c>
      <c r="D2583" s="64">
        <f>VLOOKUP(C2583,'CHAS - Cook Co'!$C$1:$J$2762,2,FALSE) - VLOOKUP(C2583,'CHAS - Chicago'!$C$1:$J$2762,2,FALSE)</f>
        <v>150</v>
      </c>
      <c r="E2583" t="s">
        <v>373</v>
      </c>
      <c r="F2583" s="71" t="s">
        <v>3020</v>
      </c>
      <c r="G2583" s="71" t="s">
        <v>3101</v>
      </c>
      <c r="H2583" s="71" t="s">
        <v>3064</v>
      </c>
      <c r="I2583" s="71" t="s">
        <v>2805</v>
      </c>
    </row>
    <row r="2584" spans="1:9" ht="43.5" x14ac:dyDescent="0.35">
      <c r="A2584">
        <v>18</v>
      </c>
      <c r="B2584">
        <v>42</v>
      </c>
      <c r="C2584" t="s">
        <v>3146</v>
      </c>
      <c r="D2584" s="64">
        <f>VLOOKUP(C2584,'CHAS - Cook Co'!$C$1:$J$2762,2,FALSE) - VLOOKUP(C2584,'CHAS - Chicago'!$C$1:$J$2762,2,FALSE)</f>
        <v>185</v>
      </c>
      <c r="E2584" t="s">
        <v>373</v>
      </c>
      <c r="F2584" s="71" t="s">
        <v>2510</v>
      </c>
      <c r="G2584" s="71" t="s">
        <v>3101</v>
      </c>
      <c r="H2584" s="71" t="s">
        <v>3064</v>
      </c>
      <c r="I2584" s="71" t="s">
        <v>2805</v>
      </c>
    </row>
    <row r="2585" spans="1:9" ht="43.5" x14ac:dyDescent="0.35">
      <c r="A2585">
        <v>18</v>
      </c>
      <c r="B2585">
        <v>42</v>
      </c>
      <c r="C2585" t="s">
        <v>3148</v>
      </c>
      <c r="D2585" s="64">
        <f>VLOOKUP(C2585,'CHAS - Cook Co'!$C$1:$J$2762,2,FALSE) - VLOOKUP(C2585,'CHAS - Chicago'!$C$1:$J$2762,2,FALSE)</f>
        <v>4860</v>
      </c>
      <c r="E2585" t="s">
        <v>373</v>
      </c>
      <c r="F2585" s="71" t="s">
        <v>508</v>
      </c>
      <c r="G2585" s="71" t="s">
        <v>3101</v>
      </c>
      <c r="H2585" s="71" t="s">
        <v>3062</v>
      </c>
      <c r="I2585" s="71" t="s">
        <v>2805</v>
      </c>
    </row>
    <row r="2586" spans="1:9" ht="43.5" x14ac:dyDescent="0.35">
      <c r="A2586">
        <v>18</v>
      </c>
      <c r="B2586">
        <v>43</v>
      </c>
      <c r="C2586" t="s">
        <v>3150</v>
      </c>
      <c r="D2586" s="64">
        <f>VLOOKUP(C2586,'CHAS - Cook Co'!$C$1:$J$2762,2,FALSE) - VLOOKUP(C2586,'CHAS - Chicago'!$C$1:$J$2762,2,FALSE)</f>
        <v>225</v>
      </c>
      <c r="E2586" t="s">
        <v>373</v>
      </c>
      <c r="F2586" s="71" t="s">
        <v>3020</v>
      </c>
      <c r="G2586" s="71" t="s">
        <v>3101</v>
      </c>
      <c r="H2586" s="71" t="s">
        <v>3064</v>
      </c>
      <c r="I2586" s="71" t="s">
        <v>2827</v>
      </c>
    </row>
    <row r="2587" spans="1:9" ht="43.5" x14ac:dyDescent="0.35">
      <c r="A2587">
        <v>18</v>
      </c>
      <c r="B2587">
        <v>43</v>
      </c>
      <c r="C2587" t="s">
        <v>3151</v>
      </c>
      <c r="D2587" s="64">
        <f>VLOOKUP(C2587,'CHAS - Cook Co'!$C$1:$J$2762,2,FALSE) - VLOOKUP(C2587,'CHAS - Chicago'!$C$1:$J$2762,2,FALSE)</f>
        <v>155</v>
      </c>
      <c r="E2587" t="s">
        <v>373</v>
      </c>
      <c r="F2587" s="71" t="s">
        <v>2510</v>
      </c>
      <c r="G2587" s="71" t="s">
        <v>3101</v>
      </c>
      <c r="H2587" s="71" t="s">
        <v>3064</v>
      </c>
      <c r="I2587" s="71" t="s">
        <v>2827</v>
      </c>
    </row>
    <row r="2588" spans="1:9" ht="43.5" x14ac:dyDescent="0.35">
      <c r="A2588">
        <v>18</v>
      </c>
      <c r="B2588">
        <v>43</v>
      </c>
      <c r="C2588" t="s">
        <v>3149</v>
      </c>
      <c r="D2588" s="64">
        <f>VLOOKUP(C2588,'CHAS - Cook Co'!$C$1:$J$2762,2,FALSE) - VLOOKUP(C2588,'CHAS - Chicago'!$C$1:$J$2762,2,FALSE)</f>
        <v>5910</v>
      </c>
      <c r="E2588" t="s">
        <v>373</v>
      </c>
      <c r="F2588" s="71" t="s">
        <v>508</v>
      </c>
      <c r="G2588" s="71" t="s">
        <v>3101</v>
      </c>
      <c r="H2588" s="71" t="s">
        <v>3062</v>
      </c>
      <c r="I2588" s="71" t="s">
        <v>2827</v>
      </c>
    </row>
    <row r="2589" spans="1:9" ht="43.5" x14ac:dyDescent="0.35">
      <c r="A2589">
        <v>18</v>
      </c>
      <c r="B2589">
        <v>44</v>
      </c>
      <c r="C2589" t="s">
        <v>3154</v>
      </c>
      <c r="D2589" s="64">
        <f>VLOOKUP(C2589,'CHAS - Cook Co'!$C$1:$J$2762,2,FALSE) - VLOOKUP(C2589,'CHAS - Chicago'!$C$1:$J$2762,2,FALSE)</f>
        <v>265</v>
      </c>
      <c r="E2589" t="s">
        <v>373</v>
      </c>
      <c r="F2589" s="71" t="s">
        <v>3020</v>
      </c>
      <c r="G2589" s="71" t="s">
        <v>3101</v>
      </c>
      <c r="H2589" s="71" t="s">
        <v>3064</v>
      </c>
      <c r="I2589" s="71" t="s">
        <v>3035</v>
      </c>
    </row>
    <row r="2590" spans="1:9" ht="43.5" x14ac:dyDescent="0.35">
      <c r="A2590">
        <v>18</v>
      </c>
      <c r="B2590">
        <v>44</v>
      </c>
      <c r="C2590" t="s">
        <v>3152</v>
      </c>
      <c r="D2590" s="64">
        <f>VLOOKUP(C2590,'CHAS - Cook Co'!$C$1:$J$2762,2,FALSE) - VLOOKUP(C2590,'CHAS - Chicago'!$C$1:$J$2762,2,FALSE)</f>
        <v>35</v>
      </c>
      <c r="E2590" t="s">
        <v>373</v>
      </c>
      <c r="F2590" s="71" t="s">
        <v>2510</v>
      </c>
      <c r="G2590" s="71" t="s">
        <v>3101</v>
      </c>
      <c r="H2590" s="71" t="s">
        <v>3064</v>
      </c>
      <c r="I2590" s="71" t="s">
        <v>3035</v>
      </c>
    </row>
    <row r="2591" spans="1:9" ht="43.5" x14ac:dyDescent="0.35">
      <c r="A2591">
        <v>18</v>
      </c>
      <c r="B2591">
        <v>44</v>
      </c>
      <c r="C2591" t="s">
        <v>3153</v>
      </c>
      <c r="D2591" s="64">
        <f>VLOOKUP(C2591,'CHAS - Cook Co'!$C$1:$J$2762,2,FALSE) - VLOOKUP(C2591,'CHAS - Chicago'!$C$1:$J$2762,2,FALSE)</f>
        <v>3240</v>
      </c>
      <c r="E2591" t="s">
        <v>373</v>
      </c>
      <c r="F2591" s="71" t="s">
        <v>508</v>
      </c>
      <c r="G2591" s="71" t="s">
        <v>3101</v>
      </c>
      <c r="H2591" s="71" t="s">
        <v>3062</v>
      </c>
      <c r="I2591" s="71" t="s">
        <v>3035</v>
      </c>
    </row>
    <row r="2592" spans="1:9" ht="43.5" x14ac:dyDescent="0.35">
      <c r="A2592">
        <v>18</v>
      </c>
      <c r="B2592">
        <v>45</v>
      </c>
      <c r="C2592" t="s">
        <v>3156</v>
      </c>
      <c r="D2592" s="64">
        <f>VLOOKUP(C2592,'CHAS - Cook Co'!$C$1:$J$2762,2,FALSE) - VLOOKUP(C2592,'CHAS - Chicago'!$C$1:$J$2762,2,FALSE)</f>
        <v>1040</v>
      </c>
      <c r="E2592" t="s">
        <v>373</v>
      </c>
      <c r="F2592" s="71" t="s">
        <v>3020</v>
      </c>
      <c r="G2592" s="71" t="s">
        <v>3101</v>
      </c>
      <c r="H2592" s="71" t="s">
        <v>3064</v>
      </c>
      <c r="I2592" s="71" t="s">
        <v>415</v>
      </c>
    </row>
    <row r="2593" spans="1:9" ht="43.5" x14ac:dyDescent="0.35">
      <c r="A2593">
        <v>18</v>
      </c>
      <c r="B2593">
        <v>45</v>
      </c>
      <c r="C2593" t="s">
        <v>3155</v>
      </c>
      <c r="D2593" s="64">
        <f>VLOOKUP(C2593,'CHAS - Cook Co'!$C$1:$J$2762,2,FALSE) - VLOOKUP(C2593,'CHAS - Chicago'!$C$1:$J$2762,2,FALSE)</f>
        <v>235</v>
      </c>
      <c r="E2593" t="s">
        <v>373</v>
      </c>
      <c r="F2593" s="71" t="s">
        <v>2510</v>
      </c>
      <c r="G2593" s="71" t="s">
        <v>3101</v>
      </c>
      <c r="H2593" s="71" t="s">
        <v>3064</v>
      </c>
      <c r="I2593" s="71" t="s">
        <v>415</v>
      </c>
    </row>
    <row r="2594" spans="1:9" ht="29" x14ac:dyDescent="0.35">
      <c r="A2594">
        <v>18</v>
      </c>
      <c r="B2594">
        <v>45</v>
      </c>
      <c r="C2594" t="s">
        <v>3157</v>
      </c>
      <c r="D2594" s="64">
        <f>VLOOKUP(C2594,'CHAS - Cook Co'!$C$1:$J$2762,2,FALSE) - VLOOKUP(C2594,'CHAS - Chicago'!$C$1:$J$2762,2,FALSE)</f>
        <v>6420</v>
      </c>
      <c r="E2594" t="s">
        <v>373</v>
      </c>
      <c r="F2594" s="71" t="s">
        <v>508</v>
      </c>
      <c r="G2594" s="71" t="s">
        <v>3101</v>
      </c>
      <c r="H2594" s="71" t="s">
        <v>3062</v>
      </c>
      <c r="I2594" s="71" t="s">
        <v>415</v>
      </c>
    </row>
    <row r="2595" spans="1:9" ht="29" x14ac:dyDescent="0.35">
      <c r="A2595">
        <v>18</v>
      </c>
      <c r="B2595">
        <v>46</v>
      </c>
      <c r="C2595" t="s">
        <v>3160</v>
      </c>
      <c r="D2595" s="64">
        <f>VLOOKUP(C2595,'CHAS - Cook Co'!$C$1:$J$2762,2,FALSE) - VLOOKUP(C2595,'CHAS - Chicago'!$C$1:$J$2762,2,FALSE)</f>
        <v>2660</v>
      </c>
      <c r="E2595" t="s">
        <v>366</v>
      </c>
      <c r="F2595" s="71" t="s">
        <v>3020</v>
      </c>
      <c r="G2595" s="71" t="s">
        <v>3101</v>
      </c>
      <c r="H2595" s="71" t="s">
        <v>3083</v>
      </c>
      <c r="I2595" s="71" t="s">
        <v>363</v>
      </c>
    </row>
    <row r="2596" spans="1:9" ht="29" x14ac:dyDescent="0.35">
      <c r="A2596">
        <v>18</v>
      </c>
      <c r="B2596">
        <v>46</v>
      </c>
      <c r="C2596" t="s">
        <v>3159</v>
      </c>
      <c r="D2596" s="64">
        <f>VLOOKUP(C2596,'CHAS - Cook Co'!$C$1:$J$2762,2,FALSE) - VLOOKUP(C2596,'CHAS - Chicago'!$C$1:$J$2762,2,FALSE)</f>
        <v>1670</v>
      </c>
      <c r="E2596" t="s">
        <v>366</v>
      </c>
      <c r="F2596" s="71" t="s">
        <v>2510</v>
      </c>
      <c r="G2596" s="71" t="s">
        <v>3101</v>
      </c>
      <c r="H2596" s="71" t="s">
        <v>3083</v>
      </c>
      <c r="I2596" s="71" t="s">
        <v>363</v>
      </c>
    </row>
    <row r="2597" spans="1:9" ht="29" x14ac:dyDescent="0.35">
      <c r="A2597">
        <v>18</v>
      </c>
      <c r="B2597">
        <v>46</v>
      </c>
      <c r="C2597" t="s">
        <v>3158</v>
      </c>
      <c r="D2597" s="64">
        <f>VLOOKUP(C2597,'CHAS - Cook Co'!$C$1:$J$2762,2,FALSE) - VLOOKUP(C2597,'CHAS - Chicago'!$C$1:$J$2762,2,FALSE)</f>
        <v>3490</v>
      </c>
      <c r="E2597" t="s">
        <v>366</v>
      </c>
      <c r="F2597" s="71" t="s">
        <v>508</v>
      </c>
      <c r="G2597" s="71" t="s">
        <v>3101</v>
      </c>
      <c r="H2597" s="71" t="s">
        <v>2491</v>
      </c>
      <c r="I2597" s="71" t="s">
        <v>363</v>
      </c>
    </row>
    <row r="2598" spans="1:9" ht="29" x14ac:dyDescent="0.35">
      <c r="A2598">
        <v>18</v>
      </c>
      <c r="B2598">
        <v>47</v>
      </c>
      <c r="C2598" t="s">
        <v>3161</v>
      </c>
      <c r="D2598" s="64">
        <f>VLOOKUP(C2598,'CHAS - Cook Co'!$C$1:$J$2762,2,FALSE) - VLOOKUP(C2598,'CHAS - Chicago'!$C$1:$J$2762,2,FALSE)</f>
        <v>195</v>
      </c>
      <c r="E2598" t="s">
        <v>373</v>
      </c>
      <c r="F2598" s="71" t="s">
        <v>3020</v>
      </c>
      <c r="G2598" s="71" t="s">
        <v>3101</v>
      </c>
      <c r="H2598" s="71" t="s">
        <v>3083</v>
      </c>
      <c r="I2598" s="71" t="s">
        <v>371</v>
      </c>
    </row>
    <row r="2599" spans="1:9" ht="29" x14ac:dyDescent="0.35">
      <c r="A2599">
        <v>18</v>
      </c>
      <c r="B2599">
        <v>47</v>
      </c>
      <c r="C2599" t="s">
        <v>3162</v>
      </c>
      <c r="D2599" s="64">
        <f>VLOOKUP(C2599,'CHAS - Cook Co'!$C$1:$J$2762,2,FALSE) - VLOOKUP(C2599,'CHAS - Chicago'!$C$1:$J$2762,2,FALSE)</f>
        <v>245</v>
      </c>
      <c r="E2599" t="s">
        <v>373</v>
      </c>
      <c r="F2599" s="71" t="s">
        <v>2510</v>
      </c>
      <c r="G2599" s="71" t="s">
        <v>3101</v>
      </c>
      <c r="H2599" s="71" t="s">
        <v>3083</v>
      </c>
      <c r="I2599" s="71" t="s">
        <v>371</v>
      </c>
    </row>
    <row r="2600" spans="1:9" ht="29" x14ac:dyDescent="0.35">
      <c r="A2600">
        <v>18</v>
      </c>
      <c r="B2600">
        <v>47</v>
      </c>
      <c r="C2600" t="s">
        <v>3163</v>
      </c>
      <c r="D2600" s="64">
        <f>VLOOKUP(C2600,'CHAS - Cook Co'!$C$1:$J$2762,2,FALSE) - VLOOKUP(C2600,'CHAS - Chicago'!$C$1:$J$2762,2,FALSE)</f>
        <v>535</v>
      </c>
      <c r="E2600" t="s">
        <v>373</v>
      </c>
      <c r="F2600" s="71" t="s">
        <v>508</v>
      </c>
      <c r="G2600" s="71" t="s">
        <v>3101</v>
      </c>
      <c r="H2600" s="71" t="s">
        <v>2491</v>
      </c>
      <c r="I2600" s="71" t="s">
        <v>371</v>
      </c>
    </row>
    <row r="2601" spans="1:9" ht="43.5" x14ac:dyDescent="0.35">
      <c r="A2601">
        <v>18</v>
      </c>
      <c r="B2601">
        <v>48</v>
      </c>
      <c r="C2601" t="s">
        <v>3165</v>
      </c>
      <c r="D2601" s="64">
        <f>VLOOKUP(C2601,'CHAS - Cook Co'!$C$1:$J$2762,2,FALSE) - VLOOKUP(C2601,'CHAS - Chicago'!$C$1:$J$2762,2,FALSE)</f>
        <v>225</v>
      </c>
      <c r="E2601" t="s">
        <v>373</v>
      </c>
      <c r="F2601" s="71" t="s">
        <v>3020</v>
      </c>
      <c r="G2601" s="71" t="s">
        <v>3101</v>
      </c>
      <c r="H2601" s="71" t="s">
        <v>3083</v>
      </c>
      <c r="I2601" s="71" t="s">
        <v>2805</v>
      </c>
    </row>
    <row r="2602" spans="1:9" ht="43.5" x14ac:dyDescent="0.35">
      <c r="A2602">
        <v>18</v>
      </c>
      <c r="B2602">
        <v>48</v>
      </c>
      <c r="C2602" t="s">
        <v>3164</v>
      </c>
      <c r="D2602" s="64">
        <f>VLOOKUP(C2602,'CHAS - Cook Co'!$C$1:$J$2762,2,FALSE) - VLOOKUP(C2602,'CHAS - Chicago'!$C$1:$J$2762,2,FALSE)</f>
        <v>200</v>
      </c>
      <c r="E2602" t="s">
        <v>373</v>
      </c>
      <c r="F2602" s="71" t="s">
        <v>2510</v>
      </c>
      <c r="G2602" s="71" t="s">
        <v>3101</v>
      </c>
      <c r="H2602" s="71" t="s">
        <v>3083</v>
      </c>
      <c r="I2602" s="71" t="s">
        <v>2805</v>
      </c>
    </row>
    <row r="2603" spans="1:9" ht="43.5" x14ac:dyDescent="0.35">
      <c r="A2603">
        <v>18</v>
      </c>
      <c r="B2603">
        <v>48</v>
      </c>
      <c r="C2603" t="s">
        <v>3166</v>
      </c>
      <c r="D2603" s="64">
        <f>VLOOKUP(C2603,'CHAS - Cook Co'!$C$1:$J$2762,2,FALSE) - VLOOKUP(C2603,'CHAS - Chicago'!$C$1:$J$2762,2,FALSE)</f>
        <v>335</v>
      </c>
      <c r="E2603" t="s">
        <v>373</v>
      </c>
      <c r="F2603" s="71" t="s">
        <v>508</v>
      </c>
      <c r="G2603" s="71" t="s">
        <v>3101</v>
      </c>
      <c r="H2603" s="71" t="s">
        <v>2491</v>
      </c>
      <c r="I2603" s="71" t="s">
        <v>2805</v>
      </c>
    </row>
    <row r="2604" spans="1:9" ht="43.5" x14ac:dyDescent="0.35">
      <c r="A2604">
        <v>18</v>
      </c>
      <c r="B2604">
        <v>49</v>
      </c>
      <c r="C2604" t="s">
        <v>3169</v>
      </c>
      <c r="D2604" s="64">
        <f>VLOOKUP(C2604,'CHAS - Cook Co'!$C$1:$J$2762,2,FALSE) - VLOOKUP(C2604,'CHAS - Chicago'!$C$1:$J$2762,2,FALSE)</f>
        <v>415</v>
      </c>
      <c r="E2604" t="s">
        <v>373</v>
      </c>
      <c r="F2604" s="71" t="s">
        <v>3020</v>
      </c>
      <c r="G2604" s="71" t="s">
        <v>3101</v>
      </c>
      <c r="H2604" s="71" t="s">
        <v>3083</v>
      </c>
      <c r="I2604" s="71" t="s">
        <v>2827</v>
      </c>
    </row>
    <row r="2605" spans="1:9" ht="43.5" x14ac:dyDescent="0.35">
      <c r="A2605">
        <v>18</v>
      </c>
      <c r="B2605">
        <v>49</v>
      </c>
      <c r="C2605" t="s">
        <v>3167</v>
      </c>
      <c r="D2605" s="64">
        <f>VLOOKUP(C2605,'CHAS - Cook Co'!$C$1:$J$2762,2,FALSE) - VLOOKUP(C2605,'CHAS - Chicago'!$C$1:$J$2762,2,FALSE)</f>
        <v>465</v>
      </c>
      <c r="E2605" t="s">
        <v>373</v>
      </c>
      <c r="F2605" s="71" t="s">
        <v>2510</v>
      </c>
      <c r="G2605" s="71" t="s">
        <v>3101</v>
      </c>
      <c r="H2605" s="71" t="s">
        <v>3083</v>
      </c>
      <c r="I2605" s="71" t="s">
        <v>2827</v>
      </c>
    </row>
    <row r="2606" spans="1:9" ht="43.5" x14ac:dyDescent="0.35">
      <c r="A2606">
        <v>18</v>
      </c>
      <c r="B2606">
        <v>49</v>
      </c>
      <c r="C2606" t="s">
        <v>3168</v>
      </c>
      <c r="D2606" s="64">
        <f>VLOOKUP(C2606,'CHAS - Cook Co'!$C$1:$J$2762,2,FALSE) - VLOOKUP(C2606,'CHAS - Chicago'!$C$1:$J$2762,2,FALSE)</f>
        <v>435</v>
      </c>
      <c r="E2606" t="s">
        <v>373</v>
      </c>
      <c r="F2606" s="71" t="s">
        <v>508</v>
      </c>
      <c r="G2606" s="71" t="s">
        <v>3101</v>
      </c>
      <c r="H2606" s="71" t="s">
        <v>2491</v>
      </c>
      <c r="I2606" s="71" t="s">
        <v>2827</v>
      </c>
    </row>
    <row r="2607" spans="1:9" ht="43.5" x14ac:dyDescent="0.35">
      <c r="A2607">
        <v>18</v>
      </c>
      <c r="B2607">
        <v>50</v>
      </c>
      <c r="C2607" t="s">
        <v>3171</v>
      </c>
      <c r="D2607" s="64">
        <f>VLOOKUP(C2607,'CHAS - Cook Co'!$C$1:$J$2762,2,FALSE) - VLOOKUP(C2607,'CHAS - Chicago'!$C$1:$J$2762,2,FALSE)</f>
        <v>275</v>
      </c>
      <c r="E2607" t="s">
        <v>373</v>
      </c>
      <c r="F2607" s="71" t="s">
        <v>3020</v>
      </c>
      <c r="G2607" s="71" t="s">
        <v>3101</v>
      </c>
      <c r="H2607" s="71" t="s">
        <v>3083</v>
      </c>
      <c r="I2607" s="71" t="s">
        <v>3035</v>
      </c>
    </row>
    <row r="2608" spans="1:9" ht="43.5" x14ac:dyDescent="0.35">
      <c r="A2608">
        <v>18</v>
      </c>
      <c r="B2608">
        <v>50</v>
      </c>
      <c r="C2608" t="s">
        <v>3170</v>
      </c>
      <c r="D2608" s="64">
        <f>VLOOKUP(C2608,'CHAS - Cook Co'!$C$1:$J$2762,2,FALSE) - VLOOKUP(C2608,'CHAS - Chicago'!$C$1:$J$2762,2,FALSE)</f>
        <v>210</v>
      </c>
      <c r="E2608" t="s">
        <v>373</v>
      </c>
      <c r="F2608" s="71" t="s">
        <v>2510</v>
      </c>
      <c r="G2608" s="71" t="s">
        <v>3101</v>
      </c>
      <c r="H2608" s="71" t="s">
        <v>3083</v>
      </c>
      <c r="I2608" s="71" t="s">
        <v>3035</v>
      </c>
    </row>
    <row r="2609" spans="1:9" ht="43.5" x14ac:dyDescent="0.35">
      <c r="A2609">
        <v>18</v>
      </c>
      <c r="B2609">
        <v>50</v>
      </c>
      <c r="C2609" t="s">
        <v>3172</v>
      </c>
      <c r="D2609" s="64">
        <f>VLOOKUP(C2609,'CHAS - Cook Co'!$C$1:$J$2762,2,FALSE) - VLOOKUP(C2609,'CHAS - Chicago'!$C$1:$J$2762,2,FALSE)</f>
        <v>320</v>
      </c>
      <c r="E2609" t="s">
        <v>373</v>
      </c>
      <c r="F2609" s="71" t="s">
        <v>508</v>
      </c>
      <c r="G2609" s="71" t="s">
        <v>3101</v>
      </c>
      <c r="H2609" s="71" t="s">
        <v>2491</v>
      </c>
      <c r="I2609" s="71" t="s">
        <v>3035</v>
      </c>
    </row>
    <row r="2610" spans="1:9" ht="29" x14ac:dyDescent="0.35">
      <c r="A2610">
        <v>18</v>
      </c>
      <c r="B2610">
        <v>51</v>
      </c>
      <c r="C2610" t="s">
        <v>3175</v>
      </c>
      <c r="D2610" s="64">
        <f>VLOOKUP(C2610,'CHAS - Cook Co'!$C$1:$J$2762,2,FALSE) - VLOOKUP(C2610,'CHAS - Chicago'!$C$1:$J$2762,2,FALSE)</f>
        <v>1550</v>
      </c>
      <c r="E2610" t="s">
        <v>373</v>
      </c>
      <c r="F2610" s="71" t="s">
        <v>3020</v>
      </c>
      <c r="G2610" s="71" t="s">
        <v>3101</v>
      </c>
      <c r="H2610" s="71" t="s">
        <v>3083</v>
      </c>
      <c r="I2610" s="71" t="s">
        <v>415</v>
      </c>
    </row>
    <row r="2611" spans="1:9" ht="29" x14ac:dyDescent="0.35">
      <c r="A2611">
        <v>18</v>
      </c>
      <c r="B2611">
        <v>51</v>
      </c>
      <c r="C2611" t="s">
        <v>3173</v>
      </c>
      <c r="D2611" s="64">
        <f>VLOOKUP(C2611,'CHAS - Cook Co'!$C$1:$J$2762,2,FALSE) - VLOOKUP(C2611,'CHAS - Chicago'!$C$1:$J$2762,2,FALSE)</f>
        <v>560</v>
      </c>
      <c r="E2611" t="s">
        <v>373</v>
      </c>
      <c r="F2611" s="71" t="s">
        <v>2510</v>
      </c>
      <c r="G2611" s="71" t="s">
        <v>3101</v>
      </c>
      <c r="H2611" s="71" t="s">
        <v>3083</v>
      </c>
      <c r="I2611" s="71" t="s">
        <v>415</v>
      </c>
    </row>
    <row r="2612" spans="1:9" ht="29" x14ac:dyDescent="0.35">
      <c r="A2612">
        <v>18</v>
      </c>
      <c r="B2612">
        <v>51</v>
      </c>
      <c r="C2612" t="s">
        <v>3174</v>
      </c>
      <c r="D2612" s="64">
        <f>VLOOKUP(C2612,'CHAS - Cook Co'!$C$1:$J$2762,2,FALSE) - VLOOKUP(C2612,'CHAS - Chicago'!$C$1:$J$2762,2,FALSE)</f>
        <v>1865</v>
      </c>
      <c r="E2612" t="s">
        <v>373</v>
      </c>
      <c r="F2612" s="71" t="s">
        <v>508</v>
      </c>
      <c r="G2612" s="71" t="s">
        <v>3101</v>
      </c>
      <c r="H2612" s="71" t="s">
        <v>2491</v>
      </c>
      <c r="I2612" s="71" t="s">
        <v>415</v>
      </c>
    </row>
    <row r="2613" spans="1:9" ht="29" x14ac:dyDescent="0.35">
      <c r="A2613">
        <v>18</v>
      </c>
      <c r="B2613">
        <v>52</v>
      </c>
      <c r="C2613" t="s">
        <v>3179</v>
      </c>
      <c r="D2613" s="64">
        <f>VLOOKUP(C2613,'CHAS - Cook Co'!$C$1:$J$2762,2,FALSE) - VLOOKUP(C2613,'CHAS - Chicago'!$C$1:$J$2762,2,FALSE)</f>
        <v>40920</v>
      </c>
      <c r="E2613" t="s">
        <v>366</v>
      </c>
      <c r="F2613" s="71" t="s">
        <v>3020</v>
      </c>
      <c r="G2613" s="71" t="s">
        <v>3177</v>
      </c>
      <c r="H2613" s="71" t="s">
        <v>2502</v>
      </c>
      <c r="I2613" s="71" t="s">
        <v>363</v>
      </c>
    </row>
    <row r="2614" spans="1:9" ht="29" x14ac:dyDescent="0.35">
      <c r="A2614">
        <v>18</v>
      </c>
      <c r="B2614">
        <v>52</v>
      </c>
      <c r="C2614" t="s">
        <v>3176</v>
      </c>
      <c r="D2614" s="64">
        <f>VLOOKUP(C2614,'CHAS - Cook Co'!$C$1:$J$2762,2,FALSE) - VLOOKUP(C2614,'CHAS - Chicago'!$C$1:$J$2762,2,FALSE)</f>
        <v>27365</v>
      </c>
      <c r="E2614" t="s">
        <v>366</v>
      </c>
      <c r="F2614" s="71" t="s">
        <v>2510</v>
      </c>
      <c r="G2614" s="71" t="s">
        <v>3177</v>
      </c>
      <c r="H2614" s="71" t="s">
        <v>2502</v>
      </c>
      <c r="I2614" s="71" t="s">
        <v>363</v>
      </c>
    </row>
    <row r="2615" spans="1:9" ht="29" x14ac:dyDescent="0.35">
      <c r="A2615">
        <v>18</v>
      </c>
      <c r="B2615">
        <v>52</v>
      </c>
      <c r="C2615" t="s">
        <v>3178</v>
      </c>
      <c r="D2615" s="64">
        <f>VLOOKUP(C2615,'CHAS - Cook Co'!$C$1:$J$2762,2,FALSE) - VLOOKUP(C2615,'CHAS - Chicago'!$C$1:$J$2762,2,FALSE)</f>
        <v>140905</v>
      </c>
      <c r="E2615" t="s">
        <v>366</v>
      </c>
      <c r="F2615" s="71" t="s">
        <v>508</v>
      </c>
      <c r="G2615" s="71" t="s">
        <v>3177</v>
      </c>
      <c r="H2615" s="71" t="s">
        <v>2446</v>
      </c>
      <c r="I2615" s="71" t="s">
        <v>363</v>
      </c>
    </row>
    <row r="2616" spans="1:9" ht="29" x14ac:dyDescent="0.35">
      <c r="A2616">
        <v>18</v>
      </c>
      <c r="B2616">
        <v>53</v>
      </c>
      <c r="C2616" t="s">
        <v>3180</v>
      </c>
      <c r="D2616" s="64">
        <f>VLOOKUP(C2616,'CHAS - Cook Co'!$C$1:$J$2762,2,FALSE) - VLOOKUP(C2616,'CHAS - Chicago'!$C$1:$J$2762,2,FALSE)</f>
        <v>23205</v>
      </c>
      <c r="E2616" t="s">
        <v>366</v>
      </c>
      <c r="F2616" s="71" t="s">
        <v>3020</v>
      </c>
      <c r="G2616" s="71" t="s">
        <v>3177</v>
      </c>
      <c r="H2616" s="71" t="s">
        <v>3022</v>
      </c>
      <c r="I2616" s="71" t="s">
        <v>363</v>
      </c>
    </row>
    <row r="2617" spans="1:9" ht="29" x14ac:dyDescent="0.35">
      <c r="A2617">
        <v>18</v>
      </c>
      <c r="B2617">
        <v>53</v>
      </c>
      <c r="C2617" t="s">
        <v>3182</v>
      </c>
      <c r="D2617" s="64">
        <f>VLOOKUP(C2617,'CHAS - Cook Co'!$C$1:$J$2762,2,FALSE) - VLOOKUP(C2617,'CHAS - Chicago'!$C$1:$J$2762,2,FALSE)</f>
        <v>12785</v>
      </c>
      <c r="E2617" t="s">
        <v>366</v>
      </c>
      <c r="F2617" s="71" t="s">
        <v>2510</v>
      </c>
      <c r="G2617" s="71" t="s">
        <v>3177</v>
      </c>
      <c r="H2617" s="71" t="s">
        <v>3022</v>
      </c>
      <c r="I2617" s="71" t="s">
        <v>363</v>
      </c>
    </row>
    <row r="2618" spans="1:9" ht="29" x14ac:dyDescent="0.35">
      <c r="A2618">
        <v>18</v>
      </c>
      <c r="B2618">
        <v>53</v>
      </c>
      <c r="C2618" t="s">
        <v>3181</v>
      </c>
      <c r="D2618" s="64">
        <f>VLOOKUP(C2618,'CHAS - Cook Co'!$C$1:$J$2762,2,FALSE) - VLOOKUP(C2618,'CHAS - Chicago'!$C$1:$J$2762,2,FALSE)</f>
        <v>10965</v>
      </c>
      <c r="E2618" t="s">
        <v>366</v>
      </c>
      <c r="F2618" s="71" t="s">
        <v>508</v>
      </c>
      <c r="G2618" s="71" t="s">
        <v>3177</v>
      </c>
      <c r="H2618" s="71" t="s">
        <v>2456</v>
      </c>
      <c r="I2618" s="71" t="s">
        <v>363</v>
      </c>
    </row>
    <row r="2619" spans="1:9" ht="29" x14ac:dyDescent="0.35">
      <c r="A2619">
        <v>18</v>
      </c>
      <c r="B2619">
        <v>54</v>
      </c>
      <c r="C2619" t="s">
        <v>3185</v>
      </c>
      <c r="D2619" s="64">
        <f>VLOOKUP(C2619,'CHAS - Cook Co'!$C$1:$J$2762,2,FALSE) - VLOOKUP(C2619,'CHAS - Chicago'!$C$1:$J$2762,2,FALSE)</f>
        <v>2675</v>
      </c>
      <c r="E2619" t="s">
        <v>373</v>
      </c>
      <c r="F2619" s="71" t="s">
        <v>3020</v>
      </c>
      <c r="G2619" s="71" t="s">
        <v>3177</v>
      </c>
      <c r="H2619" s="71" t="s">
        <v>3022</v>
      </c>
      <c r="I2619" s="71" t="s">
        <v>371</v>
      </c>
    </row>
    <row r="2620" spans="1:9" ht="29" x14ac:dyDescent="0.35">
      <c r="A2620">
        <v>18</v>
      </c>
      <c r="B2620">
        <v>54</v>
      </c>
      <c r="C2620" t="s">
        <v>3184</v>
      </c>
      <c r="D2620" s="64">
        <f>VLOOKUP(C2620,'CHAS - Cook Co'!$C$1:$J$2762,2,FALSE) - VLOOKUP(C2620,'CHAS - Chicago'!$C$1:$J$2762,2,FALSE)</f>
        <v>3150</v>
      </c>
      <c r="E2620" t="s">
        <v>373</v>
      </c>
      <c r="F2620" s="71" t="s">
        <v>2510</v>
      </c>
      <c r="G2620" s="71" t="s">
        <v>3177</v>
      </c>
      <c r="H2620" s="71" t="s">
        <v>3022</v>
      </c>
      <c r="I2620" s="71" t="s">
        <v>371</v>
      </c>
    </row>
    <row r="2621" spans="1:9" ht="29" x14ac:dyDescent="0.35">
      <c r="A2621">
        <v>18</v>
      </c>
      <c r="B2621">
        <v>54</v>
      </c>
      <c r="C2621" t="s">
        <v>3183</v>
      </c>
      <c r="D2621" s="64">
        <f>VLOOKUP(C2621,'CHAS - Cook Co'!$C$1:$J$2762,2,FALSE) - VLOOKUP(C2621,'CHAS - Chicago'!$C$1:$J$2762,2,FALSE)</f>
        <v>7500</v>
      </c>
      <c r="E2621" t="s">
        <v>373</v>
      </c>
      <c r="F2621" s="71" t="s">
        <v>508</v>
      </c>
      <c r="G2621" s="71" t="s">
        <v>3177</v>
      </c>
      <c r="H2621" s="71" t="s">
        <v>2456</v>
      </c>
      <c r="I2621" s="71" t="s">
        <v>371</v>
      </c>
    </row>
    <row r="2622" spans="1:9" ht="43.5" x14ac:dyDescent="0.35">
      <c r="A2622">
        <v>18</v>
      </c>
      <c r="B2622">
        <v>55</v>
      </c>
      <c r="C2622" t="s">
        <v>3188</v>
      </c>
      <c r="D2622" s="64">
        <f>VLOOKUP(C2622,'CHAS - Cook Co'!$C$1:$J$2762,2,FALSE) - VLOOKUP(C2622,'CHAS - Chicago'!$C$1:$J$2762,2,FALSE)</f>
        <v>3385</v>
      </c>
      <c r="E2622" t="s">
        <v>373</v>
      </c>
      <c r="F2622" s="71" t="s">
        <v>3020</v>
      </c>
      <c r="G2622" s="71" t="s">
        <v>3177</v>
      </c>
      <c r="H2622" s="71" t="s">
        <v>3022</v>
      </c>
      <c r="I2622" s="71" t="s">
        <v>2805</v>
      </c>
    </row>
    <row r="2623" spans="1:9" ht="43.5" x14ac:dyDescent="0.35">
      <c r="A2623">
        <v>18</v>
      </c>
      <c r="B2623">
        <v>55</v>
      </c>
      <c r="C2623" t="s">
        <v>3186</v>
      </c>
      <c r="D2623" s="64">
        <f>VLOOKUP(C2623,'CHAS - Cook Co'!$C$1:$J$2762,2,FALSE) - VLOOKUP(C2623,'CHAS - Chicago'!$C$1:$J$2762,2,FALSE)</f>
        <v>2655</v>
      </c>
      <c r="E2623" t="s">
        <v>373</v>
      </c>
      <c r="F2623" s="71" t="s">
        <v>2510</v>
      </c>
      <c r="G2623" s="71" t="s">
        <v>3177</v>
      </c>
      <c r="H2623" s="71" t="s">
        <v>3022</v>
      </c>
      <c r="I2623" s="71" t="s">
        <v>2805</v>
      </c>
    </row>
    <row r="2624" spans="1:9" ht="43.5" x14ac:dyDescent="0.35">
      <c r="A2624">
        <v>18</v>
      </c>
      <c r="B2624">
        <v>55</v>
      </c>
      <c r="C2624" t="s">
        <v>3187</v>
      </c>
      <c r="D2624" s="64">
        <f>VLOOKUP(C2624,'CHAS - Cook Co'!$C$1:$J$2762,2,FALSE) - VLOOKUP(C2624,'CHAS - Chicago'!$C$1:$J$2762,2,FALSE)</f>
        <v>1400</v>
      </c>
      <c r="E2624" t="s">
        <v>373</v>
      </c>
      <c r="F2624" s="71" t="s">
        <v>508</v>
      </c>
      <c r="G2624" s="71" t="s">
        <v>3177</v>
      </c>
      <c r="H2624" s="71" t="s">
        <v>2456</v>
      </c>
      <c r="I2624" s="71" t="s">
        <v>2805</v>
      </c>
    </row>
    <row r="2625" spans="1:9" ht="43.5" x14ac:dyDescent="0.35">
      <c r="A2625">
        <v>18</v>
      </c>
      <c r="B2625">
        <v>56</v>
      </c>
      <c r="C2625" t="s">
        <v>3189</v>
      </c>
      <c r="D2625" s="64">
        <f>VLOOKUP(C2625,'CHAS - Cook Co'!$C$1:$J$2762,2,FALSE) - VLOOKUP(C2625,'CHAS - Chicago'!$C$1:$J$2762,2,FALSE)</f>
        <v>5405</v>
      </c>
      <c r="E2625" t="s">
        <v>373</v>
      </c>
      <c r="F2625" s="71" t="s">
        <v>3020</v>
      </c>
      <c r="G2625" s="71" t="s">
        <v>3177</v>
      </c>
      <c r="H2625" s="71" t="s">
        <v>3022</v>
      </c>
      <c r="I2625" s="71" t="s">
        <v>2827</v>
      </c>
    </row>
    <row r="2626" spans="1:9" ht="43.5" x14ac:dyDescent="0.35">
      <c r="A2626">
        <v>18</v>
      </c>
      <c r="B2626">
        <v>56</v>
      </c>
      <c r="C2626" t="s">
        <v>3191</v>
      </c>
      <c r="D2626" s="64">
        <f>VLOOKUP(C2626,'CHAS - Cook Co'!$C$1:$J$2762,2,FALSE) - VLOOKUP(C2626,'CHAS - Chicago'!$C$1:$J$2762,2,FALSE)</f>
        <v>2815</v>
      </c>
      <c r="E2626" t="s">
        <v>373</v>
      </c>
      <c r="F2626" s="71" t="s">
        <v>2510</v>
      </c>
      <c r="G2626" s="71" t="s">
        <v>3177</v>
      </c>
      <c r="H2626" s="71" t="s">
        <v>3022</v>
      </c>
      <c r="I2626" s="71" t="s">
        <v>2827</v>
      </c>
    </row>
    <row r="2627" spans="1:9" ht="43.5" x14ac:dyDescent="0.35">
      <c r="A2627">
        <v>18</v>
      </c>
      <c r="B2627">
        <v>56</v>
      </c>
      <c r="C2627" t="s">
        <v>3190</v>
      </c>
      <c r="D2627" s="64">
        <f>VLOOKUP(C2627,'CHAS - Cook Co'!$C$1:$J$2762,2,FALSE) - VLOOKUP(C2627,'CHAS - Chicago'!$C$1:$J$2762,2,FALSE)</f>
        <v>935</v>
      </c>
      <c r="E2627" t="s">
        <v>373</v>
      </c>
      <c r="F2627" s="71" t="s">
        <v>508</v>
      </c>
      <c r="G2627" s="71" t="s">
        <v>3177</v>
      </c>
      <c r="H2627" s="71" t="s">
        <v>2456</v>
      </c>
      <c r="I2627" s="71" t="s">
        <v>2827</v>
      </c>
    </row>
    <row r="2628" spans="1:9" ht="43.5" x14ac:dyDescent="0.35">
      <c r="A2628">
        <v>18</v>
      </c>
      <c r="B2628">
        <v>57</v>
      </c>
      <c r="C2628" t="s">
        <v>3193</v>
      </c>
      <c r="D2628" s="64">
        <f>VLOOKUP(C2628,'CHAS - Cook Co'!$C$1:$J$2762,2,FALSE) - VLOOKUP(C2628,'CHAS - Chicago'!$C$1:$J$2762,2,FALSE)</f>
        <v>3015</v>
      </c>
      <c r="E2628" t="s">
        <v>373</v>
      </c>
      <c r="F2628" s="71" t="s">
        <v>3020</v>
      </c>
      <c r="G2628" s="71" t="s">
        <v>3177</v>
      </c>
      <c r="H2628" s="71" t="s">
        <v>3022</v>
      </c>
      <c r="I2628" s="71" t="s">
        <v>3035</v>
      </c>
    </row>
    <row r="2629" spans="1:9" ht="43.5" x14ac:dyDescent="0.35">
      <c r="A2629">
        <v>18</v>
      </c>
      <c r="B2629">
        <v>57</v>
      </c>
      <c r="C2629" t="s">
        <v>3192</v>
      </c>
      <c r="D2629" s="64">
        <f>VLOOKUP(C2629,'CHAS - Cook Co'!$C$1:$J$2762,2,FALSE) - VLOOKUP(C2629,'CHAS - Chicago'!$C$1:$J$2762,2,FALSE)</f>
        <v>1350</v>
      </c>
      <c r="E2629" t="s">
        <v>373</v>
      </c>
      <c r="F2629" s="71" t="s">
        <v>2510</v>
      </c>
      <c r="G2629" s="71" t="s">
        <v>3177</v>
      </c>
      <c r="H2629" s="71" t="s">
        <v>3022</v>
      </c>
      <c r="I2629" s="71" t="s">
        <v>3035</v>
      </c>
    </row>
    <row r="2630" spans="1:9" ht="43.5" x14ac:dyDescent="0.35">
      <c r="A2630">
        <v>18</v>
      </c>
      <c r="B2630">
        <v>57</v>
      </c>
      <c r="C2630" t="s">
        <v>3194</v>
      </c>
      <c r="D2630" s="64">
        <f>VLOOKUP(C2630,'CHAS - Cook Co'!$C$1:$J$2762,2,FALSE) - VLOOKUP(C2630,'CHAS - Chicago'!$C$1:$J$2762,2,FALSE)</f>
        <v>390</v>
      </c>
      <c r="E2630" t="s">
        <v>373</v>
      </c>
      <c r="F2630" s="71" t="s">
        <v>508</v>
      </c>
      <c r="G2630" s="71" t="s">
        <v>3177</v>
      </c>
      <c r="H2630" s="71" t="s">
        <v>2456</v>
      </c>
      <c r="I2630" s="71" t="s">
        <v>3035</v>
      </c>
    </row>
    <row r="2631" spans="1:9" ht="29" x14ac:dyDescent="0.35">
      <c r="A2631">
        <v>18</v>
      </c>
      <c r="B2631">
        <v>58</v>
      </c>
      <c r="C2631" t="s">
        <v>3195</v>
      </c>
      <c r="D2631" s="64">
        <f>VLOOKUP(C2631,'CHAS - Cook Co'!$C$1:$J$2762,2,FALSE) - VLOOKUP(C2631,'CHAS - Chicago'!$C$1:$J$2762,2,FALSE)</f>
        <v>8730</v>
      </c>
      <c r="E2631" t="s">
        <v>373</v>
      </c>
      <c r="F2631" s="71" t="s">
        <v>3020</v>
      </c>
      <c r="G2631" s="71" t="s">
        <v>3177</v>
      </c>
      <c r="H2631" s="71" t="s">
        <v>3022</v>
      </c>
      <c r="I2631" s="71" t="s">
        <v>415</v>
      </c>
    </row>
    <row r="2632" spans="1:9" ht="29" x14ac:dyDescent="0.35">
      <c r="A2632">
        <v>18</v>
      </c>
      <c r="B2632">
        <v>58</v>
      </c>
      <c r="C2632" t="s">
        <v>3196</v>
      </c>
      <c r="D2632" s="64">
        <f>VLOOKUP(C2632,'CHAS - Cook Co'!$C$1:$J$2762,2,FALSE) - VLOOKUP(C2632,'CHAS - Chicago'!$C$1:$J$2762,2,FALSE)</f>
        <v>2820</v>
      </c>
      <c r="E2632" t="s">
        <v>373</v>
      </c>
      <c r="F2632" s="71" t="s">
        <v>2510</v>
      </c>
      <c r="G2632" s="71" t="s">
        <v>3177</v>
      </c>
      <c r="H2632" s="71" t="s">
        <v>3022</v>
      </c>
      <c r="I2632" s="71" t="s">
        <v>415</v>
      </c>
    </row>
    <row r="2633" spans="1:9" ht="29" x14ac:dyDescent="0.35">
      <c r="A2633">
        <v>18</v>
      </c>
      <c r="B2633">
        <v>58</v>
      </c>
      <c r="C2633" t="s">
        <v>3197</v>
      </c>
      <c r="D2633" s="64">
        <f>VLOOKUP(C2633,'CHAS - Cook Co'!$C$1:$J$2762,2,FALSE) - VLOOKUP(C2633,'CHAS - Chicago'!$C$1:$J$2762,2,FALSE)</f>
        <v>730</v>
      </c>
      <c r="E2633" t="s">
        <v>373</v>
      </c>
      <c r="F2633" s="71" t="s">
        <v>508</v>
      </c>
      <c r="G2633" s="71" t="s">
        <v>3177</v>
      </c>
      <c r="H2633" s="71" t="s">
        <v>2456</v>
      </c>
      <c r="I2633" s="71" t="s">
        <v>415</v>
      </c>
    </row>
    <row r="2634" spans="1:9" ht="43.5" x14ac:dyDescent="0.35">
      <c r="A2634">
        <v>18</v>
      </c>
      <c r="B2634">
        <v>59</v>
      </c>
      <c r="C2634" t="s">
        <v>3199</v>
      </c>
      <c r="D2634" s="64">
        <f>VLOOKUP(C2634,'CHAS - Cook Co'!$C$1:$J$2762,2,FALSE) - VLOOKUP(C2634,'CHAS - Chicago'!$C$1:$J$2762,2,FALSE)</f>
        <v>11250</v>
      </c>
      <c r="E2634" t="s">
        <v>366</v>
      </c>
      <c r="F2634" s="71" t="s">
        <v>3020</v>
      </c>
      <c r="G2634" s="71" t="s">
        <v>3177</v>
      </c>
      <c r="H2634" s="71" t="s">
        <v>3044</v>
      </c>
      <c r="I2634" s="71" t="s">
        <v>363</v>
      </c>
    </row>
    <row r="2635" spans="1:9" ht="43.5" x14ac:dyDescent="0.35">
      <c r="A2635">
        <v>18</v>
      </c>
      <c r="B2635">
        <v>59</v>
      </c>
      <c r="C2635" t="s">
        <v>3200</v>
      </c>
      <c r="D2635" s="64">
        <f>VLOOKUP(C2635,'CHAS - Cook Co'!$C$1:$J$2762,2,FALSE) - VLOOKUP(C2635,'CHAS - Chicago'!$C$1:$J$2762,2,FALSE)</f>
        <v>8055</v>
      </c>
      <c r="E2635" t="s">
        <v>366</v>
      </c>
      <c r="F2635" s="71" t="s">
        <v>2510</v>
      </c>
      <c r="G2635" s="71" t="s">
        <v>3177</v>
      </c>
      <c r="H2635" s="71" t="s">
        <v>3044</v>
      </c>
      <c r="I2635" s="71" t="s">
        <v>363</v>
      </c>
    </row>
    <row r="2636" spans="1:9" ht="29" x14ac:dyDescent="0.35">
      <c r="A2636">
        <v>18</v>
      </c>
      <c r="B2636">
        <v>59</v>
      </c>
      <c r="C2636" t="s">
        <v>3198</v>
      </c>
      <c r="D2636" s="64">
        <f>VLOOKUP(C2636,'CHAS - Cook Co'!$C$1:$J$2762,2,FALSE) - VLOOKUP(C2636,'CHAS - Chicago'!$C$1:$J$2762,2,FALSE)</f>
        <v>36020</v>
      </c>
      <c r="E2636" t="s">
        <v>366</v>
      </c>
      <c r="F2636" s="71" t="s">
        <v>508</v>
      </c>
      <c r="G2636" s="71" t="s">
        <v>3177</v>
      </c>
      <c r="H2636" s="71" t="s">
        <v>3042</v>
      </c>
      <c r="I2636" s="71" t="s">
        <v>363</v>
      </c>
    </row>
    <row r="2637" spans="1:9" ht="43.5" x14ac:dyDescent="0.35">
      <c r="A2637">
        <v>18</v>
      </c>
      <c r="B2637">
        <v>60</v>
      </c>
      <c r="C2637" t="s">
        <v>3203</v>
      </c>
      <c r="D2637" s="64">
        <f>VLOOKUP(C2637,'CHAS - Cook Co'!$C$1:$J$2762,2,FALSE) - VLOOKUP(C2637,'CHAS - Chicago'!$C$1:$J$2762,2,FALSE)</f>
        <v>820</v>
      </c>
      <c r="E2637" t="s">
        <v>373</v>
      </c>
      <c r="F2637" s="71" t="s">
        <v>3020</v>
      </c>
      <c r="G2637" s="71" t="s">
        <v>3177</v>
      </c>
      <c r="H2637" s="71" t="s">
        <v>3044</v>
      </c>
      <c r="I2637" s="71" t="s">
        <v>371</v>
      </c>
    </row>
    <row r="2638" spans="1:9" ht="43.5" x14ac:dyDescent="0.35">
      <c r="A2638">
        <v>18</v>
      </c>
      <c r="B2638">
        <v>60</v>
      </c>
      <c r="C2638" t="s">
        <v>3201</v>
      </c>
      <c r="D2638" s="64">
        <f>VLOOKUP(C2638,'CHAS - Cook Co'!$C$1:$J$2762,2,FALSE) - VLOOKUP(C2638,'CHAS - Chicago'!$C$1:$J$2762,2,FALSE)</f>
        <v>1570</v>
      </c>
      <c r="E2638" t="s">
        <v>373</v>
      </c>
      <c r="F2638" s="71" t="s">
        <v>2510</v>
      </c>
      <c r="G2638" s="71" t="s">
        <v>3177</v>
      </c>
      <c r="H2638" s="71" t="s">
        <v>3044</v>
      </c>
      <c r="I2638" s="71" t="s">
        <v>371</v>
      </c>
    </row>
    <row r="2639" spans="1:9" ht="29" x14ac:dyDescent="0.35">
      <c r="A2639">
        <v>18</v>
      </c>
      <c r="B2639">
        <v>60</v>
      </c>
      <c r="C2639" t="s">
        <v>3202</v>
      </c>
      <c r="D2639" s="64">
        <f>VLOOKUP(C2639,'CHAS - Cook Co'!$C$1:$J$2762,2,FALSE) - VLOOKUP(C2639,'CHAS - Chicago'!$C$1:$J$2762,2,FALSE)</f>
        <v>11795</v>
      </c>
      <c r="E2639" t="s">
        <v>373</v>
      </c>
      <c r="F2639" s="71" t="s">
        <v>508</v>
      </c>
      <c r="G2639" s="71" t="s">
        <v>3177</v>
      </c>
      <c r="H2639" s="71" t="s">
        <v>3042</v>
      </c>
      <c r="I2639" s="71" t="s">
        <v>371</v>
      </c>
    </row>
    <row r="2640" spans="1:9" ht="43.5" x14ac:dyDescent="0.35">
      <c r="A2640">
        <v>18</v>
      </c>
      <c r="B2640">
        <v>61</v>
      </c>
      <c r="C2640" t="s">
        <v>3204</v>
      </c>
      <c r="D2640" s="64">
        <f>VLOOKUP(C2640,'CHAS - Cook Co'!$C$1:$J$2762,2,FALSE) - VLOOKUP(C2640,'CHAS - Chicago'!$C$1:$J$2762,2,FALSE)</f>
        <v>1040</v>
      </c>
      <c r="E2640" t="s">
        <v>373</v>
      </c>
      <c r="F2640" s="71" t="s">
        <v>3020</v>
      </c>
      <c r="G2640" s="71" t="s">
        <v>3177</v>
      </c>
      <c r="H2640" s="71" t="s">
        <v>3044</v>
      </c>
      <c r="I2640" s="71" t="s">
        <v>2805</v>
      </c>
    </row>
    <row r="2641" spans="1:9" ht="43.5" x14ac:dyDescent="0.35">
      <c r="A2641">
        <v>18</v>
      </c>
      <c r="B2641">
        <v>61</v>
      </c>
      <c r="C2641" t="s">
        <v>3206</v>
      </c>
      <c r="D2641" s="64">
        <f>VLOOKUP(C2641,'CHAS - Cook Co'!$C$1:$J$2762,2,FALSE) - VLOOKUP(C2641,'CHAS - Chicago'!$C$1:$J$2762,2,FALSE)</f>
        <v>1790</v>
      </c>
      <c r="E2641" t="s">
        <v>373</v>
      </c>
      <c r="F2641" s="71" t="s">
        <v>2510</v>
      </c>
      <c r="G2641" s="71" t="s">
        <v>3177</v>
      </c>
      <c r="H2641" s="71" t="s">
        <v>3044</v>
      </c>
      <c r="I2641" s="71" t="s">
        <v>2805</v>
      </c>
    </row>
    <row r="2642" spans="1:9" ht="43.5" x14ac:dyDescent="0.35">
      <c r="A2642">
        <v>18</v>
      </c>
      <c r="B2642">
        <v>61</v>
      </c>
      <c r="C2642" t="s">
        <v>3205</v>
      </c>
      <c r="D2642" s="64">
        <f>VLOOKUP(C2642,'CHAS - Cook Co'!$C$1:$J$2762,2,FALSE) - VLOOKUP(C2642,'CHAS - Chicago'!$C$1:$J$2762,2,FALSE)</f>
        <v>9180</v>
      </c>
      <c r="E2642" t="s">
        <v>373</v>
      </c>
      <c r="F2642" s="71" t="s">
        <v>508</v>
      </c>
      <c r="G2642" s="71" t="s">
        <v>3177</v>
      </c>
      <c r="H2642" s="71" t="s">
        <v>3042</v>
      </c>
      <c r="I2642" s="71" t="s">
        <v>2805</v>
      </c>
    </row>
    <row r="2643" spans="1:9" ht="43.5" x14ac:dyDescent="0.35">
      <c r="A2643">
        <v>18</v>
      </c>
      <c r="B2643">
        <v>62</v>
      </c>
      <c r="C2643" t="s">
        <v>3209</v>
      </c>
      <c r="D2643" s="64">
        <f>VLOOKUP(C2643,'CHAS - Cook Co'!$C$1:$J$2762,2,FALSE) - VLOOKUP(C2643,'CHAS - Chicago'!$C$1:$J$2762,2,FALSE)</f>
        <v>2130</v>
      </c>
      <c r="E2643" t="s">
        <v>373</v>
      </c>
      <c r="F2643" s="71" t="s">
        <v>3020</v>
      </c>
      <c r="G2643" s="71" t="s">
        <v>3177</v>
      </c>
      <c r="H2643" s="71" t="s">
        <v>3044</v>
      </c>
      <c r="I2643" s="71" t="s">
        <v>2827</v>
      </c>
    </row>
    <row r="2644" spans="1:9" ht="43.5" x14ac:dyDescent="0.35">
      <c r="A2644">
        <v>18</v>
      </c>
      <c r="B2644">
        <v>62</v>
      </c>
      <c r="C2644" t="s">
        <v>3208</v>
      </c>
      <c r="D2644" s="64">
        <f>VLOOKUP(C2644,'CHAS - Cook Co'!$C$1:$J$2762,2,FALSE) - VLOOKUP(C2644,'CHAS - Chicago'!$C$1:$J$2762,2,FALSE)</f>
        <v>1820</v>
      </c>
      <c r="E2644" t="s">
        <v>373</v>
      </c>
      <c r="F2644" s="71" t="s">
        <v>2510</v>
      </c>
      <c r="G2644" s="71" t="s">
        <v>3177</v>
      </c>
      <c r="H2644" s="71" t="s">
        <v>3044</v>
      </c>
      <c r="I2644" s="71" t="s">
        <v>2827</v>
      </c>
    </row>
    <row r="2645" spans="1:9" ht="43.5" x14ac:dyDescent="0.35">
      <c r="A2645">
        <v>18</v>
      </c>
      <c r="B2645">
        <v>62</v>
      </c>
      <c r="C2645" t="s">
        <v>3207</v>
      </c>
      <c r="D2645" s="64">
        <f>VLOOKUP(C2645,'CHAS - Cook Co'!$C$1:$J$2762,2,FALSE) - VLOOKUP(C2645,'CHAS - Chicago'!$C$1:$J$2762,2,FALSE)</f>
        <v>7930</v>
      </c>
      <c r="E2645" t="s">
        <v>373</v>
      </c>
      <c r="F2645" s="71" t="s">
        <v>508</v>
      </c>
      <c r="G2645" s="71" t="s">
        <v>3177</v>
      </c>
      <c r="H2645" s="71" t="s">
        <v>3042</v>
      </c>
      <c r="I2645" s="71" t="s">
        <v>2827</v>
      </c>
    </row>
    <row r="2646" spans="1:9" ht="43.5" x14ac:dyDescent="0.35">
      <c r="A2646">
        <v>18</v>
      </c>
      <c r="B2646">
        <v>63</v>
      </c>
      <c r="C2646" t="s">
        <v>3210</v>
      </c>
      <c r="D2646" s="64">
        <f>VLOOKUP(C2646,'CHAS - Cook Co'!$C$1:$J$2762,2,FALSE) - VLOOKUP(C2646,'CHAS - Chicago'!$C$1:$J$2762,2,FALSE)</f>
        <v>1530</v>
      </c>
      <c r="E2646" t="s">
        <v>373</v>
      </c>
      <c r="F2646" s="71" t="s">
        <v>3020</v>
      </c>
      <c r="G2646" s="71" t="s">
        <v>3177</v>
      </c>
      <c r="H2646" s="71" t="s">
        <v>3044</v>
      </c>
      <c r="I2646" s="71" t="s">
        <v>3035</v>
      </c>
    </row>
    <row r="2647" spans="1:9" ht="43.5" x14ac:dyDescent="0.35">
      <c r="A2647">
        <v>18</v>
      </c>
      <c r="B2647">
        <v>63</v>
      </c>
      <c r="C2647" t="s">
        <v>3212</v>
      </c>
      <c r="D2647" s="64">
        <f>VLOOKUP(C2647,'CHAS - Cook Co'!$C$1:$J$2762,2,FALSE) - VLOOKUP(C2647,'CHAS - Chicago'!$C$1:$J$2762,2,FALSE)</f>
        <v>600</v>
      </c>
      <c r="E2647" t="s">
        <v>373</v>
      </c>
      <c r="F2647" s="71" t="s">
        <v>2510</v>
      </c>
      <c r="G2647" s="71" t="s">
        <v>3177</v>
      </c>
      <c r="H2647" s="71" t="s">
        <v>3044</v>
      </c>
      <c r="I2647" s="71" t="s">
        <v>3035</v>
      </c>
    </row>
    <row r="2648" spans="1:9" ht="43.5" x14ac:dyDescent="0.35">
      <c r="A2648">
        <v>18</v>
      </c>
      <c r="B2648">
        <v>63</v>
      </c>
      <c r="C2648" t="s">
        <v>3211</v>
      </c>
      <c r="D2648" s="64">
        <f>VLOOKUP(C2648,'CHAS - Cook Co'!$C$1:$J$2762,2,FALSE) - VLOOKUP(C2648,'CHAS - Chicago'!$C$1:$J$2762,2,FALSE)</f>
        <v>3310</v>
      </c>
      <c r="E2648" t="s">
        <v>373</v>
      </c>
      <c r="F2648" s="71" t="s">
        <v>508</v>
      </c>
      <c r="G2648" s="71" t="s">
        <v>3177</v>
      </c>
      <c r="H2648" s="71" t="s">
        <v>3042</v>
      </c>
      <c r="I2648" s="71" t="s">
        <v>3035</v>
      </c>
    </row>
    <row r="2649" spans="1:9" ht="43.5" x14ac:dyDescent="0.35">
      <c r="A2649">
        <v>18</v>
      </c>
      <c r="B2649">
        <v>64</v>
      </c>
      <c r="C2649" t="s">
        <v>3214</v>
      </c>
      <c r="D2649" s="64">
        <f>VLOOKUP(C2649,'CHAS - Cook Co'!$C$1:$J$2762,2,FALSE) - VLOOKUP(C2649,'CHAS - Chicago'!$C$1:$J$2762,2,FALSE)</f>
        <v>5725</v>
      </c>
      <c r="E2649" t="s">
        <v>373</v>
      </c>
      <c r="F2649" s="71" t="s">
        <v>3020</v>
      </c>
      <c r="G2649" s="71" t="s">
        <v>3177</v>
      </c>
      <c r="H2649" s="71" t="s">
        <v>3044</v>
      </c>
      <c r="I2649" s="71" t="s">
        <v>415</v>
      </c>
    </row>
    <row r="2650" spans="1:9" ht="43.5" x14ac:dyDescent="0.35">
      <c r="A2650">
        <v>18</v>
      </c>
      <c r="B2650">
        <v>64</v>
      </c>
      <c r="C2650" t="s">
        <v>3213</v>
      </c>
      <c r="D2650" s="64">
        <f>VLOOKUP(C2650,'CHAS - Cook Co'!$C$1:$J$2762,2,FALSE) - VLOOKUP(C2650,'CHAS - Chicago'!$C$1:$J$2762,2,FALSE)</f>
        <v>2280</v>
      </c>
      <c r="E2650" t="s">
        <v>373</v>
      </c>
      <c r="F2650" s="71" t="s">
        <v>2510</v>
      </c>
      <c r="G2650" s="71" t="s">
        <v>3177</v>
      </c>
      <c r="H2650" s="71" t="s">
        <v>3044</v>
      </c>
      <c r="I2650" s="71" t="s">
        <v>415</v>
      </c>
    </row>
    <row r="2651" spans="1:9" ht="29" x14ac:dyDescent="0.35">
      <c r="A2651">
        <v>18</v>
      </c>
      <c r="B2651">
        <v>64</v>
      </c>
      <c r="C2651" t="s">
        <v>3215</v>
      </c>
      <c r="D2651" s="64">
        <f>VLOOKUP(C2651,'CHAS - Cook Co'!$C$1:$J$2762,2,FALSE) - VLOOKUP(C2651,'CHAS - Chicago'!$C$1:$J$2762,2,FALSE)</f>
        <v>3800</v>
      </c>
      <c r="E2651" t="s">
        <v>373</v>
      </c>
      <c r="F2651" s="71" t="s">
        <v>508</v>
      </c>
      <c r="G2651" s="71" t="s">
        <v>3177</v>
      </c>
      <c r="H2651" s="71" t="s">
        <v>3042</v>
      </c>
      <c r="I2651" s="71" t="s">
        <v>415</v>
      </c>
    </row>
    <row r="2652" spans="1:9" ht="43.5" x14ac:dyDescent="0.35">
      <c r="A2652">
        <v>18</v>
      </c>
      <c r="B2652">
        <v>65</v>
      </c>
      <c r="C2652" t="s">
        <v>3216</v>
      </c>
      <c r="D2652" s="64">
        <f>VLOOKUP(C2652,'CHAS - Cook Co'!$C$1:$J$2762,2,FALSE) - VLOOKUP(C2652,'CHAS - Chicago'!$C$1:$J$2762,2,FALSE)</f>
        <v>2720</v>
      </c>
      <c r="E2652" t="s">
        <v>366</v>
      </c>
      <c r="F2652" s="71" t="s">
        <v>3020</v>
      </c>
      <c r="G2652" s="71" t="s">
        <v>3177</v>
      </c>
      <c r="H2652" s="71" t="s">
        <v>3064</v>
      </c>
      <c r="I2652" s="71" t="s">
        <v>363</v>
      </c>
    </row>
    <row r="2653" spans="1:9" ht="43.5" x14ac:dyDescent="0.35">
      <c r="A2653">
        <v>18</v>
      </c>
      <c r="B2653">
        <v>65</v>
      </c>
      <c r="C2653" t="s">
        <v>3217</v>
      </c>
      <c r="D2653" s="64">
        <f>VLOOKUP(C2653,'CHAS - Cook Co'!$C$1:$J$2762,2,FALSE) - VLOOKUP(C2653,'CHAS - Chicago'!$C$1:$J$2762,2,FALSE)</f>
        <v>2170</v>
      </c>
      <c r="E2653" t="s">
        <v>366</v>
      </c>
      <c r="F2653" s="71" t="s">
        <v>2510</v>
      </c>
      <c r="G2653" s="71" t="s">
        <v>3177</v>
      </c>
      <c r="H2653" s="71" t="s">
        <v>3064</v>
      </c>
      <c r="I2653" s="71" t="s">
        <v>363</v>
      </c>
    </row>
    <row r="2654" spans="1:9" ht="29" x14ac:dyDescent="0.35">
      <c r="A2654">
        <v>18</v>
      </c>
      <c r="B2654">
        <v>65</v>
      </c>
      <c r="C2654" t="s">
        <v>3218</v>
      </c>
      <c r="D2654" s="64">
        <f>VLOOKUP(C2654,'CHAS - Cook Co'!$C$1:$J$2762,2,FALSE) - VLOOKUP(C2654,'CHAS - Chicago'!$C$1:$J$2762,2,FALSE)</f>
        <v>77190</v>
      </c>
      <c r="E2654" t="s">
        <v>366</v>
      </c>
      <c r="F2654" s="71" t="s">
        <v>508</v>
      </c>
      <c r="G2654" s="71" t="s">
        <v>3177</v>
      </c>
      <c r="H2654" s="71" t="s">
        <v>3062</v>
      </c>
      <c r="I2654" s="71" t="s">
        <v>363</v>
      </c>
    </row>
    <row r="2655" spans="1:9" ht="43.5" x14ac:dyDescent="0.35">
      <c r="A2655">
        <v>18</v>
      </c>
      <c r="B2655">
        <v>66</v>
      </c>
      <c r="C2655" t="s">
        <v>3221</v>
      </c>
      <c r="D2655" s="64">
        <f>VLOOKUP(C2655,'CHAS - Cook Co'!$C$1:$J$2762,2,FALSE) - VLOOKUP(C2655,'CHAS - Chicago'!$C$1:$J$2762,2,FALSE)</f>
        <v>165</v>
      </c>
      <c r="E2655" t="s">
        <v>373</v>
      </c>
      <c r="F2655" s="71" t="s">
        <v>3020</v>
      </c>
      <c r="G2655" s="71" t="s">
        <v>3177</v>
      </c>
      <c r="H2655" s="71" t="s">
        <v>3064</v>
      </c>
      <c r="I2655" s="71" t="s">
        <v>371</v>
      </c>
    </row>
    <row r="2656" spans="1:9" ht="43.5" x14ac:dyDescent="0.35">
      <c r="A2656">
        <v>18</v>
      </c>
      <c r="B2656">
        <v>66</v>
      </c>
      <c r="C2656" t="s">
        <v>3219</v>
      </c>
      <c r="D2656" s="64">
        <f>VLOOKUP(C2656,'CHAS - Cook Co'!$C$1:$J$2762,2,FALSE) - VLOOKUP(C2656,'CHAS - Chicago'!$C$1:$J$2762,2,FALSE)</f>
        <v>400</v>
      </c>
      <c r="E2656" t="s">
        <v>373</v>
      </c>
      <c r="F2656" s="71" t="s">
        <v>2510</v>
      </c>
      <c r="G2656" s="71" t="s">
        <v>3177</v>
      </c>
      <c r="H2656" s="71" t="s">
        <v>3064</v>
      </c>
      <c r="I2656" s="71" t="s">
        <v>371</v>
      </c>
    </row>
    <row r="2657" spans="1:9" ht="29" x14ac:dyDescent="0.35">
      <c r="A2657">
        <v>18</v>
      </c>
      <c r="B2657">
        <v>66</v>
      </c>
      <c r="C2657" t="s">
        <v>3220</v>
      </c>
      <c r="D2657" s="64">
        <f>VLOOKUP(C2657,'CHAS - Cook Co'!$C$1:$J$2762,2,FALSE) - VLOOKUP(C2657,'CHAS - Chicago'!$C$1:$J$2762,2,FALSE)</f>
        <v>16180</v>
      </c>
      <c r="E2657" t="s">
        <v>373</v>
      </c>
      <c r="F2657" s="71" t="s">
        <v>508</v>
      </c>
      <c r="G2657" s="71" t="s">
        <v>3177</v>
      </c>
      <c r="H2657" s="71" t="s">
        <v>3062</v>
      </c>
      <c r="I2657" s="71" t="s">
        <v>371</v>
      </c>
    </row>
    <row r="2658" spans="1:9" ht="43.5" x14ac:dyDescent="0.35">
      <c r="A2658">
        <v>18</v>
      </c>
      <c r="B2658">
        <v>67</v>
      </c>
      <c r="C2658" t="s">
        <v>3223</v>
      </c>
      <c r="D2658" s="64">
        <f>VLOOKUP(C2658,'CHAS - Cook Co'!$C$1:$J$2762,2,FALSE) - VLOOKUP(C2658,'CHAS - Chicago'!$C$1:$J$2762,2,FALSE)</f>
        <v>160</v>
      </c>
      <c r="E2658" t="s">
        <v>373</v>
      </c>
      <c r="F2658" s="71" t="s">
        <v>3020</v>
      </c>
      <c r="G2658" s="71" t="s">
        <v>3177</v>
      </c>
      <c r="H2658" s="71" t="s">
        <v>3064</v>
      </c>
      <c r="I2658" s="71" t="s">
        <v>2805</v>
      </c>
    </row>
    <row r="2659" spans="1:9" ht="43.5" x14ac:dyDescent="0.35">
      <c r="A2659">
        <v>18</v>
      </c>
      <c r="B2659">
        <v>67</v>
      </c>
      <c r="C2659" t="s">
        <v>3224</v>
      </c>
      <c r="D2659" s="64">
        <f>VLOOKUP(C2659,'CHAS - Cook Co'!$C$1:$J$2762,2,FALSE) - VLOOKUP(C2659,'CHAS - Chicago'!$C$1:$J$2762,2,FALSE)</f>
        <v>460</v>
      </c>
      <c r="E2659" t="s">
        <v>373</v>
      </c>
      <c r="F2659" s="71" t="s">
        <v>2510</v>
      </c>
      <c r="G2659" s="71" t="s">
        <v>3177</v>
      </c>
      <c r="H2659" s="71" t="s">
        <v>3064</v>
      </c>
      <c r="I2659" s="71" t="s">
        <v>2805</v>
      </c>
    </row>
    <row r="2660" spans="1:9" ht="43.5" x14ac:dyDescent="0.35">
      <c r="A2660">
        <v>18</v>
      </c>
      <c r="B2660">
        <v>67</v>
      </c>
      <c r="C2660" t="s">
        <v>3222</v>
      </c>
      <c r="D2660" s="64">
        <f>VLOOKUP(C2660,'CHAS - Cook Co'!$C$1:$J$2762,2,FALSE) - VLOOKUP(C2660,'CHAS - Chicago'!$C$1:$J$2762,2,FALSE)</f>
        <v>13755</v>
      </c>
      <c r="E2660" t="s">
        <v>373</v>
      </c>
      <c r="F2660" s="71" t="s">
        <v>508</v>
      </c>
      <c r="G2660" s="71" t="s">
        <v>3177</v>
      </c>
      <c r="H2660" s="71" t="s">
        <v>3062</v>
      </c>
      <c r="I2660" s="71" t="s">
        <v>2805</v>
      </c>
    </row>
    <row r="2661" spans="1:9" ht="43.5" x14ac:dyDescent="0.35">
      <c r="A2661">
        <v>18</v>
      </c>
      <c r="B2661">
        <v>68</v>
      </c>
      <c r="C2661" t="s">
        <v>3226</v>
      </c>
      <c r="D2661" s="64">
        <f>VLOOKUP(C2661,'CHAS - Cook Co'!$C$1:$J$2762,2,FALSE) - VLOOKUP(C2661,'CHAS - Chicago'!$C$1:$J$2762,2,FALSE)</f>
        <v>280</v>
      </c>
      <c r="E2661" t="s">
        <v>373</v>
      </c>
      <c r="F2661" s="71" t="s">
        <v>3020</v>
      </c>
      <c r="G2661" s="71" t="s">
        <v>3177</v>
      </c>
      <c r="H2661" s="71" t="s">
        <v>3064</v>
      </c>
      <c r="I2661" s="71" t="s">
        <v>2827</v>
      </c>
    </row>
    <row r="2662" spans="1:9" ht="43.5" x14ac:dyDescent="0.35">
      <c r="A2662">
        <v>18</v>
      </c>
      <c r="B2662">
        <v>68</v>
      </c>
      <c r="C2662" t="s">
        <v>3225</v>
      </c>
      <c r="D2662" s="64">
        <f>VLOOKUP(C2662,'CHAS - Cook Co'!$C$1:$J$2762,2,FALSE) - VLOOKUP(C2662,'CHAS - Chicago'!$C$1:$J$2762,2,FALSE)</f>
        <v>335</v>
      </c>
      <c r="E2662" t="s">
        <v>373</v>
      </c>
      <c r="F2662" s="71" t="s">
        <v>2510</v>
      </c>
      <c r="G2662" s="71" t="s">
        <v>3177</v>
      </c>
      <c r="H2662" s="71" t="s">
        <v>3064</v>
      </c>
      <c r="I2662" s="71" t="s">
        <v>2827</v>
      </c>
    </row>
    <row r="2663" spans="1:9" ht="43.5" x14ac:dyDescent="0.35">
      <c r="A2663">
        <v>18</v>
      </c>
      <c r="B2663">
        <v>68</v>
      </c>
      <c r="C2663" t="s">
        <v>3227</v>
      </c>
      <c r="D2663" s="64">
        <f>VLOOKUP(C2663,'CHAS - Cook Co'!$C$1:$J$2762,2,FALSE) - VLOOKUP(C2663,'CHAS - Chicago'!$C$1:$J$2762,2,FALSE)</f>
        <v>18305</v>
      </c>
      <c r="E2663" t="s">
        <v>373</v>
      </c>
      <c r="F2663" s="71" t="s">
        <v>508</v>
      </c>
      <c r="G2663" s="71" t="s">
        <v>3177</v>
      </c>
      <c r="H2663" s="71" t="s">
        <v>3062</v>
      </c>
      <c r="I2663" s="71" t="s">
        <v>2827</v>
      </c>
    </row>
    <row r="2664" spans="1:9" ht="43.5" x14ac:dyDescent="0.35">
      <c r="A2664">
        <v>18</v>
      </c>
      <c r="B2664">
        <v>69</v>
      </c>
      <c r="C2664" t="s">
        <v>3230</v>
      </c>
      <c r="D2664" s="64">
        <f>VLOOKUP(C2664,'CHAS - Cook Co'!$C$1:$J$2762,2,FALSE) - VLOOKUP(C2664,'CHAS - Chicago'!$C$1:$J$2762,2,FALSE)</f>
        <v>390</v>
      </c>
      <c r="E2664" t="s">
        <v>373</v>
      </c>
      <c r="F2664" s="71" t="s">
        <v>3020</v>
      </c>
      <c r="G2664" s="71" t="s">
        <v>3177</v>
      </c>
      <c r="H2664" s="71" t="s">
        <v>3064</v>
      </c>
      <c r="I2664" s="71" t="s">
        <v>3035</v>
      </c>
    </row>
    <row r="2665" spans="1:9" ht="43.5" x14ac:dyDescent="0.35">
      <c r="A2665">
        <v>18</v>
      </c>
      <c r="B2665">
        <v>69</v>
      </c>
      <c r="C2665" t="s">
        <v>3228</v>
      </c>
      <c r="D2665" s="64">
        <f>VLOOKUP(C2665,'CHAS - Cook Co'!$C$1:$J$2762,2,FALSE) - VLOOKUP(C2665,'CHAS - Chicago'!$C$1:$J$2762,2,FALSE)</f>
        <v>320</v>
      </c>
      <c r="E2665" t="s">
        <v>373</v>
      </c>
      <c r="F2665" s="71" t="s">
        <v>2510</v>
      </c>
      <c r="G2665" s="71" t="s">
        <v>3177</v>
      </c>
      <c r="H2665" s="71" t="s">
        <v>3064</v>
      </c>
      <c r="I2665" s="71" t="s">
        <v>3035</v>
      </c>
    </row>
    <row r="2666" spans="1:9" ht="43.5" x14ac:dyDescent="0.35">
      <c r="A2666">
        <v>18</v>
      </c>
      <c r="B2666">
        <v>69</v>
      </c>
      <c r="C2666" t="s">
        <v>3229</v>
      </c>
      <c r="D2666" s="64">
        <f>VLOOKUP(C2666,'CHAS - Cook Co'!$C$1:$J$2762,2,FALSE) - VLOOKUP(C2666,'CHAS - Chicago'!$C$1:$J$2762,2,FALSE)</f>
        <v>9650</v>
      </c>
      <c r="E2666" t="s">
        <v>373</v>
      </c>
      <c r="F2666" s="71" t="s">
        <v>508</v>
      </c>
      <c r="G2666" s="71" t="s">
        <v>3177</v>
      </c>
      <c r="H2666" s="71" t="s">
        <v>3062</v>
      </c>
      <c r="I2666" s="71" t="s">
        <v>3035</v>
      </c>
    </row>
    <row r="2667" spans="1:9" ht="43.5" x14ac:dyDescent="0.35">
      <c r="A2667">
        <v>18</v>
      </c>
      <c r="B2667">
        <v>70</v>
      </c>
      <c r="C2667" t="s">
        <v>3232</v>
      </c>
      <c r="D2667" s="64">
        <f>VLOOKUP(C2667,'CHAS - Cook Co'!$C$1:$J$2762,2,FALSE) - VLOOKUP(C2667,'CHAS - Chicago'!$C$1:$J$2762,2,FALSE)</f>
        <v>1725</v>
      </c>
      <c r="E2667" t="s">
        <v>373</v>
      </c>
      <c r="F2667" s="71" t="s">
        <v>3020</v>
      </c>
      <c r="G2667" s="71" t="s">
        <v>3177</v>
      </c>
      <c r="H2667" s="71" t="s">
        <v>3064</v>
      </c>
      <c r="I2667" s="71" t="s">
        <v>415</v>
      </c>
    </row>
    <row r="2668" spans="1:9" ht="43.5" x14ac:dyDescent="0.35">
      <c r="A2668">
        <v>18</v>
      </c>
      <c r="B2668">
        <v>70</v>
      </c>
      <c r="C2668" t="s">
        <v>3233</v>
      </c>
      <c r="D2668" s="64">
        <f>VLOOKUP(C2668,'CHAS - Cook Co'!$C$1:$J$2762,2,FALSE) - VLOOKUP(C2668,'CHAS - Chicago'!$C$1:$J$2762,2,FALSE)</f>
        <v>660</v>
      </c>
      <c r="E2668" t="s">
        <v>373</v>
      </c>
      <c r="F2668" s="71" t="s">
        <v>2510</v>
      </c>
      <c r="G2668" s="71" t="s">
        <v>3177</v>
      </c>
      <c r="H2668" s="71" t="s">
        <v>3064</v>
      </c>
      <c r="I2668" s="71" t="s">
        <v>415</v>
      </c>
    </row>
    <row r="2669" spans="1:9" ht="29" x14ac:dyDescent="0.35">
      <c r="A2669">
        <v>18</v>
      </c>
      <c r="B2669">
        <v>70</v>
      </c>
      <c r="C2669" t="s">
        <v>3231</v>
      </c>
      <c r="D2669" s="64">
        <f>VLOOKUP(C2669,'CHAS - Cook Co'!$C$1:$J$2762,2,FALSE) - VLOOKUP(C2669,'CHAS - Chicago'!$C$1:$J$2762,2,FALSE)</f>
        <v>19300</v>
      </c>
      <c r="E2669" t="s">
        <v>373</v>
      </c>
      <c r="F2669" s="71" t="s">
        <v>508</v>
      </c>
      <c r="G2669" s="71" t="s">
        <v>3177</v>
      </c>
      <c r="H2669" s="71" t="s">
        <v>3062</v>
      </c>
      <c r="I2669" s="71" t="s">
        <v>415</v>
      </c>
    </row>
    <row r="2670" spans="1:9" ht="29" x14ac:dyDescent="0.35">
      <c r="A2670">
        <v>18</v>
      </c>
      <c r="B2670">
        <v>71</v>
      </c>
      <c r="C2670" t="s">
        <v>3235</v>
      </c>
      <c r="D2670" s="64">
        <f>VLOOKUP(C2670,'CHAS - Cook Co'!$C$1:$J$2762,2,FALSE) - VLOOKUP(C2670,'CHAS - Chicago'!$C$1:$J$2762,2,FALSE)</f>
        <v>3745</v>
      </c>
      <c r="E2670" t="s">
        <v>366</v>
      </c>
      <c r="F2670" s="71" t="s">
        <v>3020</v>
      </c>
      <c r="G2670" s="71" t="s">
        <v>3177</v>
      </c>
      <c r="H2670" s="71" t="s">
        <v>3083</v>
      </c>
      <c r="I2670" s="71" t="s">
        <v>363</v>
      </c>
    </row>
    <row r="2671" spans="1:9" ht="29" x14ac:dyDescent="0.35">
      <c r="A2671">
        <v>18</v>
      </c>
      <c r="B2671">
        <v>71</v>
      </c>
      <c r="C2671" t="s">
        <v>3234</v>
      </c>
      <c r="D2671" s="64">
        <f>VLOOKUP(C2671,'CHAS - Cook Co'!$C$1:$J$2762,2,FALSE) - VLOOKUP(C2671,'CHAS - Chicago'!$C$1:$J$2762,2,FALSE)</f>
        <v>4355</v>
      </c>
      <c r="E2671" t="s">
        <v>366</v>
      </c>
      <c r="F2671" s="71" t="s">
        <v>2510</v>
      </c>
      <c r="G2671" s="71" t="s">
        <v>3177</v>
      </c>
      <c r="H2671" s="71" t="s">
        <v>3083</v>
      </c>
      <c r="I2671" s="71" t="s">
        <v>363</v>
      </c>
    </row>
    <row r="2672" spans="1:9" ht="29" x14ac:dyDescent="0.35">
      <c r="A2672">
        <v>18</v>
      </c>
      <c r="B2672">
        <v>71</v>
      </c>
      <c r="C2672" t="s">
        <v>3236</v>
      </c>
      <c r="D2672" s="64">
        <f>VLOOKUP(C2672,'CHAS - Cook Co'!$C$1:$J$2762,2,FALSE) - VLOOKUP(C2672,'CHAS - Chicago'!$C$1:$J$2762,2,FALSE)</f>
        <v>16735</v>
      </c>
      <c r="E2672" t="s">
        <v>366</v>
      </c>
      <c r="F2672" s="71" t="s">
        <v>508</v>
      </c>
      <c r="G2672" s="71" t="s">
        <v>3177</v>
      </c>
      <c r="H2672" s="71" t="s">
        <v>2491</v>
      </c>
      <c r="I2672" s="71" t="s">
        <v>363</v>
      </c>
    </row>
    <row r="2673" spans="1:9" ht="29" x14ac:dyDescent="0.35">
      <c r="A2673">
        <v>18</v>
      </c>
      <c r="B2673">
        <v>72</v>
      </c>
      <c r="C2673" t="s">
        <v>3237</v>
      </c>
      <c r="D2673" s="64">
        <f>VLOOKUP(C2673,'CHAS - Cook Co'!$C$1:$J$2762,2,FALSE) - VLOOKUP(C2673,'CHAS - Chicago'!$C$1:$J$2762,2,FALSE)</f>
        <v>150</v>
      </c>
      <c r="E2673" t="s">
        <v>373</v>
      </c>
      <c r="F2673" s="71" t="s">
        <v>3020</v>
      </c>
      <c r="G2673" s="71" t="s">
        <v>3177</v>
      </c>
      <c r="H2673" s="71" t="s">
        <v>3083</v>
      </c>
      <c r="I2673" s="71" t="s">
        <v>371</v>
      </c>
    </row>
    <row r="2674" spans="1:9" ht="29" x14ac:dyDescent="0.35">
      <c r="A2674">
        <v>18</v>
      </c>
      <c r="B2674">
        <v>72</v>
      </c>
      <c r="C2674" t="s">
        <v>3239</v>
      </c>
      <c r="D2674" s="64">
        <f>VLOOKUP(C2674,'CHAS - Cook Co'!$C$1:$J$2762,2,FALSE) - VLOOKUP(C2674,'CHAS - Chicago'!$C$1:$J$2762,2,FALSE)</f>
        <v>655</v>
      </c>
      <c r="E2674" t="s">
        <v>373</v>
      </c>
      <c r="F2674" s="71" t="s">
        <v>2510</v>
      </c>
      <c r="G2674" s="71" t="s">
        <v>3177</v>
      </c>
      <c r="H2674" s="71" t="s">
        <v>3083</v>
      </c>
      <c r="I2674" s="71" t="s">
        <v>371</v>
      </c>
    </row>
    <row r="2675" spans="1:9" ht="29" x14ac:dyDescent="0.35">
      <c r="A2675">
        <v>18</v>
      </c>
      <c r="B2675">
        <v>72</v>
      </c>
      <c r="C2675" t="s">
        <v>3238</v>
      </c>
      <c r="D2675" s="64">
        <f>VLOOKUP(C2675,'CHAS - Cook Co'!$C$1:$J$2762,2,FALSE) - VLOOKUP(C2675,'CHAS - Chicago'!$C$1:$J$2762,2,FALSE)</f>
        <v>2625</v>
      </c>
      <c r="E2675" t="s">
        <v>373</v>
      </c>
      <c r="F2675" s="71" t="s">
        <v>508</v>
      </c>
      <c r="G2675" s="71" t="s">
        <v>3177</v>
      </c>
      <c r="H2675" s="71" t="s">
        <v>2491</v>
      </c>
      <c r="I2675" s="71" t="s">
        <v>371</v>
      </c>
    </row>
    <row r="2676" spans="1:9" ht="43.5" x14ac:dyDescent="0.35">
      <c r="A2676">
        <v>18</v>
      </c>
      <c r="B2676">
        <v>73</v>
      </c>
      <c r="C2676" t="s">
        <v>3242</v>
      </c>
      <c r="D2676" s="64">
        <f>VLOOKUP(C2676,'CHAS - Cook Co'!$C$1:$J$2762,2,FALSE) - VLOOKUP(C2676,'CHAS - Chicago'!$C$1:$J$2762,2,FALSE)</f>
        <v>355</v>
      </c>
      <c r="E2676" t="s">
        <v>373</v>
      </c>
      <c r="F2676" s="71" t="s">
        <v>3020</v>
      </c>
      <c r="G2676" s="71" t="s">
        <v>3177</v>
      </c>
      <c r="H2676" s="71" t="s">
        <v>3083</v>
      </c>
      <c r="I2676" s="71" t="s">
        <v>2805</v>
      </c>
    </row>
    <row r="2677" spans="1:9" ht="43.5" x14ac:dyDescent="0.35">
      <c r="A2677">
        <v>18</v>
      </c>
      <c r="B2677">
        <v>73</v>
      </c>
      <c r="C2677" t="s">
        <v>3241</v>
      </c>
      <c r="D2677" s="64">
        <f>VLOOKUP(C2677,'CHAS - Cook Co'!$C$1:$J$2762,2,FALSE) - VLOOKUP(C2677,'CHAS - Chicago'!$C$1:$J$2762,2,FALSE)</f>
        <v>720</v>
      </c>
      <c r="E2677" t="s">
        <v>373</v>
      </c>
      <c r="F2677" s="71" t="s">
        <v>2510</v>
      </c>
      <c r="G2677" s="71" t="s">
        <v>3177</v>
      </c>
      <c r="H2677" s="71" t="s">
        <v>3083</v>
      </c>
      <c r="I2677" s="71" t="s">
        <v>2805</v>
      </c>
    </row>
    <row r="2678" spans="1:9" ht="43.5" x14ac:dyDescent="0.35">
      <c r="A2678">
        <v>18</v>
      </c>
      <c r="B2678">
        <v>73</v>
      </c>
      <c r="C2678" t="s">
        <v>3240</v>
      </c>
      <c r="D2678" s="64">
        <f>VLOOKUP(C2678,'CHAS - Cook Co'!$C$1:$J$2762,2,FALSE) - VLOOKUP(C2678,'CHAS - Chicago'!$C$1:$J$2762,2,FALSE)</f>
        <v>1985</v>
      </c>
      <c r="E2678" t="s">
        <v>373</v>
      </c>
      <c r="F2678" s="71" t="s">
        <v>508</v>
      </c>
      <c r="G2678" s="71" t="s">
        <v>3177</v>
      </c>
      <c r="H2678" s="71" t="s">
        <v>2491</v>
      </c>
      <c r="I2678" s="71" t="s">
        <v>2805</v>
      </c>
    </row>
    <row r="2679" spans="1:9" ht="43.5" x14ac:dyDescent="0.35">
      <c r="A2679">
        <v>18</v>
      </c>
      <c r="B2679">
        <v>74</v>
      </c>
      <c r="C2679" t="s">
        <v>3243</v>
      </c>
      <c r="D2679" s="64">
        <f>VLOOKUP(C2679,'CHAS - Cook Co'!$C$1:$J$2762,2,FALSE) - VLOOKUP(C2679,'CHAS - Chicago'!$C$1:$J$2762,2,FALSE)</f>
        <v>335</v>
      </c>
      <c r="E2679" t="s">
        <v>373</v>
      </c>
      <c r="F2679" s="71" t="s">
        <v>3020</v>
      </c>
      <c r="G2679" s="71" t="s">
        <v>3177</v>
      </c>
      <c r="H2679" s="71" t="s">
        <v>3083</v>
      </c>
      <c r="I2679" s="71" t="s">
        <v>2827</v>
      </c>
    </row>
    <row r="2680" spans="1:9" ht="43.5" x14ac:dyDescent="0.35">
      <c r="A2680">
        <v>18</v>
      </c>
      <c r="B2680">
        <v>74</v>
      </c>
      <c r="C2680" t="s">
        <v>3244</v>
      </c>
      <c r="D2680" s="64">
        <f>VLOOKUP(C2680,'CHAS - Cook Co'!$C$1:$J$2762,2,FALSE) - VLOOKUP(C2680,'CHAS - Chicago'!$C$1:$J$2762,2,FALSE)</f>
        <v>580</v>
      </c>
      <c r="E2680" t="s">
        <v>373</v>
      </c>
      <c r="F2680" s="71" t="s">
        <v>2510</v>
      </c>
      <c r="G2680" s="71" t="s">
        <v>3177</v>
      </c>
      <c r="H2680" s="71" t="s">
        <v>3083</v>
      </c>
      <c r="I2680" s="71" t="s">
        <v>2827</v>
      </c>
    </row>
    <row r="2681" spans="1:9" ht="43.5" x14ac:dyDescent="0.35">
      <c r="A2681">
        <v>18</v>
      </c>
      <c r="B2681">
        <v>74</v>
      </c>
      <c r="C2681" t="s">
        <v>3245</v>
      </c>
      <c r="D2681" s="64">
        <f>VLOOKUP(C2681,'CHAS - Cook Co'!$C$1:$J$2762,2,FALSE) - VLOOKUP(C2681,'CHAS - Chicago'!$C$1:$J$2762,2,FALSE)</f>
        <v>2280</v>
      </c>
      <c r="E2681" t="s">
        <v>373</v>
      </c>
      <c r="F2681" s="71" t="s">
        <v>508</v>
      </c>
      <c r="G2681" s="71" t="s">
        <v>3177</v>
      </c>
      <c r="H2681" s="71" t="s">
        <v>2491</v>
      </c>
      <c r="I2681" s="71" t="s">
        <v>2827</v>
      </c>
    </row>
    <row r="2682" spans="1:9" ht="43.5" x14ac:dyDescent="0.35">
      <c r="A2682">
        <v>18</v>
      </c>
      <c r="B2682">
        <v>75</v>
      </c>
      <c r="C2682" t="s">
        <v>3247</v>
      </c>
      <c r="D2682" s="64">
        <f>VLOOKUP(C2682,'CHAS - Cook Co'!$C$1:$J$2762,2,FALSE) - VLOOKUP(C2682,'CHAS - Chicago'!$C$1:$J$2762,2,FALSE)</f>
        <v>210</v>
      </c>
      <c r="E2682" t="s">
        <v>373</v>
      </c>
      <c r="F2682" s="71" t="s">
        <v>3020</v>
      </c>
      <c r="G2682" s="71" t="s">
        <v>3177</v>
      </c>
      <c r="H2682" s="71" t="s">
        <v>3083</v>
      </c>
      <c r="I2682" s="71" t="s">
        <v>3035</v>
      </c>
    </row>
    <row r="2683" spans="1:9" ht="43.5" x14ac:dyDescent="0.35">
      <c r="A2683">
        <v>18</v>
      </c>
      <c r="B2683">
        <v>75</v>
      </c>
      <c r="C2683" t="s">
        <v>3248</v>
      </c>
      <c r="D2683" s="64">
        <f>VLOOKUP(C2683,'CHAS - Cook Co'!$C$1:$J$2762,2,FALSE) - VLOOKUP(C2683,'CHAS - Chicago'!$C$1:$J$2762,2,FALSE)</f>
        <v>315</v>
      </c>
      <c r="E2683" t="s">
        <v>373</v>
      </c>
      <c r="F2683" s="71" t="s">
        <v>2510</v>
      </c>
      <c r="G2683" s="71" t="s">
        <v>3177</v>
      </c>
      <c r="H2683" s="71" t="s">
        <v>3083</v>
      </c>
      <c r="I2683" s="71" t="s">
        <v>3035</v>
      </c>
    </row>
    <row r="2684" spans="1:9" ht="43.5" x14ac:dyDescent="0.35">
      <c r="A2684">
        <v>18</v>
      </c>
      <c r="B2684">
        <v>75</v>
      </c>
      <c r="C2684" t="s">
        <v>3246</v>
      </c>
      <c r="D2684" s="64">
        <f>VLOOKUP(C2684,'CHAS - Cook Co'!$C$1:$J$2762,2,FALSE) - VLOOKUP(C2684,'CHAS - Chicago'!$C$1:$J$2762,2,FALSE)</f>
        <v>1740</v>
      </c>
      <c r="E2684" t="s">
        <v>373</v>
      </c>
      <c r="F2684" s="71" t="s">
        <v>508</v>
      </c>
      <c r="G2684" s="71" t="s">
        <v>3177</v>
      </c>
      <c r="H2684" s="71" t="s">
        <v>2491</v>
      </c>
      <c r="I2684" s="71" t="s">
        <v>3035</v>
      </c>
    </row>
    <row r="2685" spans="1:9" ht="29" x14ac:dyDescent="0.35">
      <c r="A2685">
        <v>18</v>
      </c>
      <c r="B2685">
        <v>76</v>
      </c>
      <c r="C2685" t="s">
        <v>3249</v>
      </c>
      <c r="D2685" s="64">
        <f>VLOOKUP(C2685,'CHAS - Cook Co'!$C$1:$J$2762,2,FALSE) - VLOOKUP(C2685,'CHAS - Chicago'!$C$1:$J$2762,2,FALSE)</f>
        <v>2700</v>
      </c>
      <c r="E2685" t="s">
        <v>373</v>
      </c>
      <c r="F2685" s="71" t="s">
        <v>3020</v>
      </c>
      <c r="G2685" s="71" t="s">
        <v>3177</v>
      </c>
      <c r="H2685" s="71" t="s">
        <v>3083</v>
      </c>
      <c r="I2685" s="71" t="s">
        <v>415</v>
      </c>
    </row>
    <row r="2686" spans="1:9" ht="29" x14ac:dyDescent="0.35">
      <c r="A2686">
        <v>18</v>
      </c>
      <c r="B2686">
        <v>76</v>
      </c>
      <c r="C2686" t="s">
        <v>3251</v>
      </c>
      <c r="D2686" s="64">
        <f>VLOOKUP(C2686,'CHAS - Cook Co'!$C$1:$J$2762,2,FALSE) - VLOOKUP(C2686,'CHAS - Chicago'!$C$1:$J$2762,2,FALSE)</f>
        <v>2085</v>
      </c>
      <c r="E2686" t="s">
        <v>373</v>
      </c>
      <c r="F2686" s="71" t="s">
        <v>2510</v>
      </c>
      <c r="G2686" s="71" t="s">
        <v>3177</v>
      </c>
      <c r="H2686" s="71" t="s">
        <v>3083</v>
      </c>
      <c r="I2686" s="71" t="s">
        <v>415</v>
      </c>
    </row>
    <row r="2687" spans="1:9" ht="29" x14ac:dyDescent="0.35">
      <c r="A2687">
        <v>18</v>
      </c>
      <c r="B2687">
        <v>76</v>
      </c>
      <c r="C2687" t="s">
        <v>3250</v>
      </c>
      <c r="D2687" s="64">
        <f>VLOOKUP(C2687,'CHAS - Cook Co'!$C$1:$J$2762,2,FALSE) - VLOOKUP(C2687,'CHAS - Chicago'!$C$1:$J$2762,2,FALSE)</f>
        <v>8095</v>
      </c>
      <c r="E2687" t="s">
        <v>373</v>
      </c>
      <c r="F2687" s="71" t="s">
        <v>508</v>
      </c>
      <c r="G2687" s="71" t="s">
        <v>3177</v>
      </c>
      <c r="H2687" s="71" t="s">
        <v>2491</v>
      </c>
      <c r="I2687" s="71" t="s">
        <v>415</v>
      </c>
    </row>
    <row r="2688" spans="1:9" ht="29" x14ac:dyDescent="0.35">
      <c r="A2688">
        <v>18</v>
      </c>
      <c r="B2688">
        <v>77</v>
      </c>
      <c r="C2688" t="s">
        <v>3255</v>
      </c>
      <c r="D2688" s="64">
        <f>VLOOKUP(C2688,'CHAS - Cook Co'!$C$1:$J$2762,2,FALSE) - VLOOKUP(C2688,'CHAS - Chicago'!$C$1:$J$2762,2,FALSE)</f>
        <v>1790</v>
      </c>
      <c r="E2688" t="s">
        <v>366</v>
      </c>
      <c r="F2688" s="71" t="s">
        <v>3020</v>
      </c>
      <c r="G2688" s="71" t="s">
        <v>3253</v>
      </c>
      <c r="H2688" s="71" t="s">
        <v>2502</v>
      </c>
      <c r="I2688" s="71" t="s">
        <v>363</v>
      </c>
    </row>
    <row r="2689" spans="1:9" ht="29" x14ac:dyDescent="0.35">
      <c r="A2689">
        <v>18</v>
      </c>
      <c r="B2689">
        <v>77</v>
      </c>
      <c r="C2689" t="s">
        <v>3254</v>
      </c>
      <c r="D2689" s="64">
        <f>VLOOKUP(C2689,'CHAS - Cook Co'!$C$1:$J$2762,2,FALSE) - VLOOKUP(C2689,'CHAS - Chicago'!$C$1:$J$2762,2,FALSE)</f>
        <v>6870</v>
      </c>
      <c r="E2689" t="s">
        <v>366</v>
      </c>
      <c r="F2689" s="71" t="s">
        <v>2510</v>
      </c>
      <c r="G2689" s="71" t="s">
        <v>3253</v>
      </c>
      <c r="H2689" s="71" t="s">
        <v>2502</v>
      </c>
      <c r="I2689" s="71" t="s">
        <v>363</v>
      </c>
    </row>
    <row r="2690" spans="1:9" ht="29" x14ac:dyDescent="0.35">
      <c r="A2690">
        <v>18</v>
      </c>
      <c r="B2690">
        <v>77</v>
      </c>
      <c r="C2690" t="s">
        <v>3252</v>
      </c>
      <c r="D2690" s="64">
        <f>VLOOKUP(C2690,'CHAS - Cook Co'!$C$1:$J$2762,2,FALSE) - VLOOKUP(C2690,'CHAS - Chicago'!$C$1:$J$2762,2,FALSE)</f>
        <v>2630</v>
      </c>
      <c r="E2690" t="s">
        <v>366</v>
      </c>
      <c r="F2690" s="71" t="s">
        <v>508</v>
      </c>
      <c r="G2690" s="71" t="s">
        <v>3253</v>
      </c>
      <c r="H2690" s="71" t="s">
        <v>2446</v>
      </c>
      <c r="I2690" s="71" t="s">
        <v>363</v>
      </c>
    </row>
    <row r="2691" spans="1:9" ht="29" x14ac:dyDescent="0.35">
      <c r="A2691">
        <v>18</v>
      </c>
      <c r="B2691">
        <v>78</v>
      </c>
      <c r="C2691" t="s">
        <v>3256</v>
      </c>
      <c r="D2691" s="64">
        <f>VLOOKUP(C2691,'CHAS - Cook Co'!$C$1:$J$2762,2,FALSE) - VLOOKUP(C2691,'CHAS - Chicago'!$C$1:$J$2762,2,FALSE)</f>
        <v>1545</v>
      </c>
      <c r="E2691" t="s">
        <v>366</v>
      </c>
      <c r="F2691" s="71" t="s">
        <v>3020</v>
      </c>
      <c r="G2691" s="71" t="s">
        <v>3253</v>
      </c>
      <c r="H2691" s="71" t="s">
        <v>3022</v>
      </c>
      <c r="I2691" s="71" t="s">
        <v>363</v>
      </c>
    </row>
    <row r="2692" spans="1:9" ht="29" x14ac:dyDescent="0.35">
      <c r="A2692">
        <v>18</v>
      </c>
      <c r="B2692">
        <v>78</v>
      </c>
      <c r="C2692" t="s">
        <v>3258</v>
      </c>
      <c r="D2692" s="64">
        <f>VLOOKUP(C2692,'CHAS - Cook Co'!$C$1:$J$2762,2,FALSE) - VLOOKUP(C2692,'CHAS - Chicago'!$C$1:$J$2762,2,FALSE)</f>
        <v>6790</v>
      </c>
      <c r="E2692" t="s">
        <v>366</v>
      </c>
      <c r="F2692" s="71" t="s">
        <v>2510</v>
      </c>
      <c r="G2692" s="71" t="s">
        <v>3253</v>
      </c>
      <c r="H2692" s="71" t="s">
        <v>3022</v>
      </c>
      <c r="I2692" s="71" t="s">
        <v>363</v>
      </c>
    </row>
    <row r="2693" spans="1:9" ht="29" x14ac:dyDescent="0.35">
      <c r="A2693">
        <v>18</v>
      </c>
      <c r="B2693">
        <v>78</v>
      </c>
      <c r="C2693" t="s">
        <v>3257</v>
      </c>
      <c r="D2693" s="64">
        <f>VLOOKUP(C2693,'CHAS - Cook Co'!$C$1:$J$2762,2,FALSE) - VLOOKUP(C2693,'CHAS - Chicago'!$C$1:$J$2762,2,FALSE)</f>
        <v>400</v>
      </c>
      <c r="E2693" t="s">
        <v>366</v>
      </c>
      <c r="F2693" s="71" t="s">
        <v>508</v>
      </c>
      <c r="G2693" s="71" t="s">
        <v>3253</v>
      </c>
      <c r="H2693" s="71" t="s">
        <v>2456</v>
      </c>
      <c r="I2693" s="71" t="s">
        <v>363</v>
      </c>
    </row>
    <row r="2694" spans="1:9" ht="29" x14ac:dyDescent="0.35">
      <c r="A2694">
        <v>18</v>
      </c>
      <c r="B2694">
        <v>79</v>
      </c>
      <c r="C2694" t="s">
        <v>3259</v>
      </c>
      <c r="D2694" s="64">
        <f>VLOOKUP(C2694,'CHAS - Cook Co'!$C$1:$J$2762,2,FALSE) - VLOOKUP(C2694,'CHAS - Chicago'!$C$1:$J$2762,2,FALSE)</f>
        <v>380</v>
      </c>
      <c r="E2694" t="s">
        <v>373</v>
      </c>
      <c r="F2694" s="71" t="s">
        <v>3020</v>
      </c>
      <c r="G2694" s="71" t="s">
        <v>3253</v>
      </c>
      <c r="H2694" s="71" t="s">
        <v>3022</v>
      </c>
      <c r="I2694" s="71" t="s">
        <v>371</v>
      </c>
    </row>
    <row r="2695" spans="1:9" ht="29" x14ac:dyDescent="0.35">
      <c r="A2695">
        <v>18</v>
      </c>
      <c r="B2695">
        <v>79</v>
      </c>
      <c r="C2695" t="s">
        <v>3261</v>
      </c>
      <c r="D2695" s="64">
        <f>VLOOKUP(C2695,'CHAS - Cook Co'!$C$1:$J$2762,2,FALSE) - VLOOKUP(C2695,'CHAS - Chicago'!$C$1:$J$2762,2,FALSE)</f>
        <v>1940</v>
      </c>
      <c r="E2695" t="s">
        <v>373</v>
      </c>
      <c r="F2695" s="71" t="s">
        <v>2510</v>
      </c>
      <c r="G2695" s="71" t="s">
        <v>3253</v>
      </c>
      <c r="H2695" s="71" t="s">
        <v>3022</v>
      </c>
      <c r="I2695" s="71" t="s">
        <v>371</v>
      </c>
    </row>
    <row r="2696" spans="1:9" ht="29" x14ac:dyDescent="0.35">
      <c r="A2696">
        <v>18</v>
      </c>
      <c r="B2696">
        <v>79</v>
      </c>
      <c r="C2696" t="s">
        <v>3260</v>
      </c>
      <c r="D2696" s="64">
        <f>VLOOKUP(C2696,'CHAS - Cook Co'!$C$1:$J$2762,2,FALSE) - VLOOKUP(C2696,'CHAS - Chicago'!$C$1:$J$2762,2,FALSE)</f>
        <v>200</v>
      </c>
      <c r="E2696" t="s">
        <v>373</v>
      </c>
      <c r="F2696" s="71" t="s">
        <v>508</v>
      </c>
      <c r="G2696" s="71" t="s">
        <v>3253</v>
      </c>
      <c r="H2696" s="71" t="s">
        <v>2456</v>
      </c>
      <c r="I2696" s="71" t="s">
        <v>371</v>
      </c>
    </row>
    <row r="2697" spans="1:9" ht="43.5" x14ac:dyDescent="0.35">
      <c r="A2697">
        <v>18</v>
      </c>
      <c r="B2697">
        <v>80</v>
      </c>
      <c r="C2697" t="s">
        <v>3262</v>
      </c>
      <c r="D2697" s="64">
        <f>VLOOKUP(C2697,'CHAS - Cook Co'!$C$1:$J$2762,2,FALSE) - VLOOKUP(C2697,'CHAS - Chicago'!$C$1:$J$2762,2,FALSE)</f>
        <v>450</v>
      </c>
      <c r="E2697" t="s">
        <v>373</v>
      </c>
      <c r="F2697" s="71" t="s">
        <v>3020</v>
      </c>
      <c r="G2697" s="71" t="s">
        <v>3253</v>
      </c>
      <c r="H2697" s="71" t="s">
        <v>3022</v>
      </c>
      <c r="I2697" s="71" t="s">
        <v>2805</v>
      </c>
    </row>
    <row r="2698" spans="1:9" ht="43.5" x14ac:dyDescent="0.35">
      <c r="A2698">
        <v>18</v>
      </c>
      <c r="B2698">
        <v>80</v>
      </c>
      <c r="C2698" t="s">
        <v>3263</v>
      </c>
      <c r="D2698" s="64">
        <f>VLOOKUP(C2698,'CHAS - Cook Co'!$C$1:$J$2762,2,FALSE) - VLOOKUP(C2698,'CHAS - Chicago'!$C$1:$J$2762,2,FALSE)</f>
        <v>1545</v>
      </c>
      <c r="E2698" t="s">
        <v>373</v>
      </c>
      <c r="F2698" s="71" t="s">
        <v>2510</v>
      </c>
      <c r="G2698" s="71" t="s">
        <v>3253</v>
      </c>
      <c r="H2698" s="71" t="s">
        <v>3022</v>
      </c>
      <c r="I2698" s="71" t="s">
        <v>2805</v>
      </c>
    </row>
    <row r="2699" spans="1:9" ht="43.5" x14ac:dyDescent="0.35">
      <c r="A2699">
        <v>18</v>
      </c>
      <c r="B2699">
        <v>80</v>
      </c>
      <c r="C2699" t="s">
        <v>3264</v>
      </c>
      <c r="D2699" s="64">
        <f>VLOOKUP(C2699,'CHAS - Cook Co'!$C$1:$J$2762,2,FALSE) - VLOOKUP(C2699,'CHAS - Chicago'!$C$1:$J$2762,2,FALSE)</f>
        <v>85</v>
      </c>
      <c r="E2699" t="s">
        <v>373</v>
      </c>
      <c r="F2699" s="71" t="s">
        <v>508</v>
      </c>
      <c r="G2699" s="71" t="s">
        <v>3253</v>
      </c>
      <c r="H2699" s="71" t="s">
        <v>2456</v>
      </c>
      <c r="I2699" s="71" t="s">
        <v>2805</v>
      </c>
    </row>
    <row r="2700" spans="1:9" ht="43.5" x14ac:dyDescent="0.35">
      <c r="A2700">
        <v>18</v>
      </c>
      <c r="B2700">
        <v>81</v>
      </c>
      <c r="C2700" t="s">
        <v>3267</v>
      </c>
      <c r="D2700" s="64">
        <f>VLOOKUP(C2700,'CHAS - Cook Co'!$C$1:$J$2762,2,FALSE) - VLOOKUP(C2700,'CHAS - Chicago'!$C$1:$J$2762,2,FALSE)</f>
        <v>260</v>
      </c>
      <c r="E2700" t="s">
        <v>373</v>
      </c>
      <c r="F2700" s="71" t="s">
        <v>3020</v>
      </c>
      <c r="G2700" s="71" t="s">
        <v>3253</v>
      </c>
      <c r="H2700" s="71" t="s">
        <v>3022</v>
      </c>
      <c r="I2700" s="71" t="s">
        <v>2827</v>
      </c>
    </row>
    <row r="2701" spans="1:9" ht="43.5" x14ac:dyDescent="0.35">
      <c r="A2701">
        <v>18</v>
      </c>
      <c r="B2701">
        <v>81</v>
      </c>
      <c r="C2701" t="s">
        <v>3265</v>
      </c>
      <c r="D2701" s="64">
        <f>VLOOKUP(C2701,'CHAS - Cook Co'!$C$1:$J$2762,2,FALSE) - VLOOKUP(C2701,'CHAS - Chicago'!$C$1:$J$2762,2,FALSE)</f>
        <v>1880</v>
      </c>
      <c r="E2701" t="s">
        <v>373</v>
      </c>
      <c r="F2701" s="71" t="s">
        <v>2510</v>
      </c>
      <c r="G2701" s="71" t="s">
        <v>3253</v>
      </c>
      <c r="H2701" s="71" t="s">
        <v>3022</v>
      </c>
      <c r="I2701" s="71" t="s">
        <v>2827</v>
      </c>
    </row>
    <row r="2702" spans="1:9" ht="43.5" x14ac:dyDescent="0.35">
      <c r="A2702">
        <v>18</v>
      </c>
      <c r="B2702">
        <v>81</v>
      </c>
      <c r="C2702" t="s">
        <v>3266</v>
      </c>
      <c r="D2702" s="64">
        <f>VLOOKUP(C2702,'CHAS - Cook Co'!$C$1:$J$2762,2,FALSE) - VLOOKUP(C2702,'CHAS - Chicago'!$C$1:$J$2762,2,FALSE)</f>
        <v>40</v>
      </c>
      <c r="E2702" t="s">
        <v>373</v>
      </c>
      <c r="F2702" s="71" t="s">
        <v>508</v>
      </c>
      <c r="G2702" s="71" t="s">
        <v>3253</v>
      </c>
      <c r="H2702" s="71" t="s">
        <v>2456</v>
      </c>
      <c r="I2702" s="71" t="s">
        <v>2827</v>
      </c>
    </row>
    <row r="2703" spans="1:9" ht="43.5" x14ac:dyDescent="0.35">
      <c r="A2703">
        <v>18</v>
      </c>
      <c r="B2703">
        <v>82</v>
      </c>
      <c r="C2703" t="s">
        <v>3270</v>
      </c>
      <c r="D2703" s="64">
        <f>VLOOKUP(C2703,'CHAS - Cook Co'!$C$1:$J$2762,2,FALSE) - VLOOKUP(C2703,'CHAS - Chicago'!$C$1:$J$2762,2,FALSE)</f>
        <v>166</v>
      </c>
      <c r="E2703" t="s">
        <v>373</v>
      </c>
      <c r="F2703" s="71" t="s">
        <v>3020</v>
      </c>
      <c r="G2703" s="71" t="s">
        <v>3253</v>
      </c>
      <c r="H2703" s="71" t="s">
        <v>3022</v>
      </c>
      <c r="I2703" s="71" t="s">
        <v>3035</v>
      </c>
    </row>
    <row r="2704" spans="1:9" ht="43.5" x14ac:dyDescent="0.35">
      <c r="A2704">
        <v>18</v>
      </c>
      <c r="B2704">
        <v>82</v>
      </c>
      <c r="C2704" t="s">
        <v>3269</v>
      </c>
      <c r="D2704" s="64">
        <f>VLOOKUP(C2704,'CHAS - Cook Co'!$C$1:$J$2762,2,FALSE) - VLOOKUP(C2704,'CHAS - Chicago'!$C$1:$J$2762,2,FALSE)</f>
        <v>550</v>
      </c>
      <c r="E2704" t="s">
        <v>373</v>
      </c>
      <c r="F2704" s="71" t="s">
        <v>2510</v>
      </c>
      <c r="G2704" s="71" t="s">
        <v>3253</v>
      </c>
      <c r="H2704" s="71" t="s">
        <v>3022</v>
      </c>
      <c r="I2704" s="71" t="s">
        <v>3035</v>
      </c>
    </row>
    <row r="2705" spans="1:9" ht="43.5" x14ac:dyDescent="0.35">
      <c r="A2705">
        <v>18</v>
      </c>
      <c r="B2705">
        <v>82</v>
      </c>
      <c r="C2705" t="s">
        <v>3268</v>
      </c>
      <c r="D2705" s="64">
        <f>VLOOKUP(C2705,'CHAS - Cook Co'!$C$1:$J$2762,2,FALSE) - VLOOKUP(C2705,'CHAS - Chicago'!$C$1:$J$2762,2,FALSE)</f>
        <v>0</v>
      </c>
      <c r="E2705" t="s">
        <v>373</v>
      </c>
      <c r="F2705" s="71" t="s">
        <v>508</v>
      </c>
      <c r="G2705" s="71" t="s">
        <v>3253</v>
      </c>
      <c r="H2705" s="71" t="s">
        <v>2456</v>
      </c>
      <c r="I2705" s="71" t="s">
        <v>3035</v>
      </c>
    </row>
    <row r="2706" spans="1:9" ht="29" x14ac:dyDescent="0.35">
      <c r="A2706">
        <v>18</v>
      </c>
      <c r="B2706">
        <v>83</v>
      </c>
      <c r="C2706" t="s">
        <v>3271</v>
      </c>
      <c r="D2706" s="64">
        <f>VLOOKUP(C2706,'CHAS - Cook Co'!$C$1:$J$2762,2,FALSE) - VLOOKUP(C2706,'CHAS - Chicago'!$C$1:$J$2762,2,FALSE)</f>
        <v>295</v>
      </c>
      <c r="E2706" t="s">
        <v>373</v>
      </c>
      <c r="F2706" s="71" t="s">
        <v>3020</v>
      </c>
      <c r="G2706" s="71" t="s">
        <v>3253</v>
      </c>
      <c r="H2706" s="71" t="s">
        <v>3022</v>
      </c>
      <c r="I2706" s="71" t="s">
        <v>415</v>
      </c>
    </row>
    <row r="2707" spans="1:9" ht="29" x14ac:dyDescent="0.35">
      <c r="A2707">
        <v>18</v>
      </c>
      <c r="B2707">
        <v>83</v>
      </c>
      <c r="C2707" t="s">
        <v>3272</v>
      </c>
      <c r="D2707" s="64">
        <f>VLOOKUP(C2707,'CHAS - Cook Co'!$C$1:$J$2762,2,FALSE) - VLOOKUP(C2707,'CHAS - Chicago'!$C$1:$J$2762,2,FALSE)</f>
        <v>870</v>
      </c>
      <c r="E2707" t="s">
        <v>373</v>
      </c>
      <c r="F2707" s="71" t="s">
        <v>2510</v>
      </c>
      <c r="G2707" s="71" t="s">
        <v>3253</v>
      </c>
      <c r="H2707" s="71" t="s">
        <v>3022</v>
      </c>
      <c r="I2707" s="71" t="s">
        <v>415</v>
      </c>
    </row>
    <row r="2708" spans="1:9" ht="29" x14ac:dyDescent="0.35">
      <c r="A2708">
        <v>18</v>
      </c>
      <c r="B2708">
        <v>83</v>
      </c>
      <c r="C2708" t="s">
        <v>3273</v>
      </c>
      <c r="D2708" s="64">
        <f>VLOOKUP(C2708,'CHAS - Cook Co'!$C$1:$J$2762,2,FALSE) - VLOOKUP(C2708,'CHAS - Chicago'!$C$1:$J$2762,2,FALSE)</f>
        <v>80</v>
      </c>
      <c r="E2708" t="s">
        <v>373</v>
      </c>
      <c r="F2708" s="71" t="s">
        <v>508</v>
      </c>
      <c r="G2708" s="71" t="s">
        <v>3253</v>
      </c>
      <c r="H2708" s="71" t="s">
        <v>2456</v>
      </c>
      <c r="I2708" s="71" t="s">
        <v>415</v>
      </c>
    </row>
    <row r="2709" spans="1:9" ht="43.5" x14ac:dyDescent="0.35">
      <c r="A2709">
        <v>18</v>
      </c>
      <c r="B2709">
        <v>84</v>
      </c>
      <c r="C2709" t="s">
        <v>3274</v>
      </c>
      <c r="D2709" s="64">
        <f>VLOOKUP(C2709,'CHAS - Cook Co'!$C$1:$J$2762,2,FALSE) - VLOOKUP(C2709,'CHAS - Chicago'!$C$1:$J$2762,2,FALSE)</f>
        <v>150</v>
      </c>
      <c r="E2709" t="s">
        <v>366</v>
      </c>
      <c r="F2709" s="71" t="s">
        <v>3020</v>
      </c>
      <c r="G2709" s="71" t="s">
        <v>3253</v>
      </c>
      <c r="H2709" s="71" t="s">
        <v>3044</v>
      </c>
      <c r="I2709" s="71" t="s">
        <v>363</v>
      </c>
    </row>
    <row r="2710" spans="1:9" ht="43.5" x14ac:dyDescent="0.35">
      <c r="A2710">
        <v>18</v>
      </c>
      <c r="B2710">
        <v>84</v>
      </c>
      <c r="C2710" t="s">
        <v>3276</v>
      </c>
      <c r="D2710" s="64">
        <f>VLOOKUP(C2710,'CHAS - Cook Co'!$C$1:$J$2762,2,FALSE) - VLOOKUP(C2710,'CHAS - Chicago'!$C$1:$J$2762,2,FALSE)</f>
        <v>15</v>
      </c>
      <c r="E2710" t="s">
        <v>366</v>
      </c>
      <c r="F2710" s="71" t="s">
        <v>2510</v>
      </c>
      <c r="G2710" s="71" t="s">
        <v>3253</v>
      </c>
      <c r="H2710" s="71" t="s">
        <v>3044</v>
      </c>
      <c r="I2710" s="71" t="s">
        <v>363</v>
      </c>
    </row>
    <row r="2711" spans="1:9" ht="29" x14ac:dyDescent="0.35">
      <c r="A2711">
        <v>18</v>
      </c>
      <c r="B2711">
        <v>84</v>
      </c>
      <c r="C2711" t="s">
        <v>3275</v>
      </c>
      <c r="D2711" s="64">
        <f>VLOOKUP(C2711,'CHAS - Cook Co'!$C$1:$J$2762,2,FALSE) - VLOOKUP(C2711,'CHAS - Chicago'!$C$1:$J$2762,2,FALSE)</f>
        <v>1345</v>
      </c>
      <c r="E2711" t="s">
        <v>366</v>
      </c>
      <c r="F2711" s="71" t="s">
        <v>508</v>
      </c>
      <c r="G2711" s="71" t="s">
        <v>3253</v>
      </c>
      <c r="H2711" s="71" t="s">
        <v>3042</v>
      </c>
      <c r="I2711" s="71" t="s">
        <v>363</v>
      </c>
    </row>
    <row r="2712" spans="1:9" ht="43.5" x14ac:dyDescent="0.35">
      <c r="A2712">
        <v>18</v>
      </c>
      <c r="B2712">
        <v>85</v>
      </c>
      <c r="C2712" t="s">
        <v>3277</v>
      </c>
      <c r="D2712" s="64">
        <f>VLOOKUP(C2712,'CHAS - Cook Co'!$C$1:$J$2762,2,FALSE) - VLOOKUP(C2712,'CHAS - Chicago'!$C$1:$J$2762,2,FALSE)</f>
        <v>15</v>
      </c>
      <c r="E2712" t="s">
        <v>373</v>
      </c>
      <c r="F2712" s="71" t="s">
        <v>3020</v>
      </c>
      <c r="G2712" s="71" t="s">
        <v>3253</v>
      </c>
      <c r="H2712" s="71" t="s">
        <v>3044</v>
      </c>
      <c r="I2712" s="71" t="s">
        <v>371</v>
      </c>
    </row>
    <row r="2713" spans="1:9" ht="43.5" x14ac:dyDescent="0.35">
      <c r="A2713">
        <v>18</v>
      </c>
      <c r="B2713">
        <v>85</v>
      </c>
      <c r="C2713" t="s">
        <v>3278</v>
      </c>
      <c r="D2713" s="64">
        <f>VLOOKUP(C2713,'CHAS - Cook Co'!$C$1:$J$2762,2,FALSE) - VLOOKUP(C2713,'CHAS - Chicago'!$C$1:$J$2762,2,FALSE)</f>
        <v>0</v>
      </c>
      <c r="E2713" t="s">
        <v>373</v>
      </c>
      <c r="F2713" s="71" t="s">
        <v>2510</v>
      </c>
      <c r="G2713" s="71" t="s">
        <v>3253</v>
      </c>
      <c r="H2713" s="71" t="s">
        <v>3044</v>
      </c>
      <c r="I2713" s="71" t="s">
        <v>371</v>
      </c>
    </row>
    <row r="2714" spans="1:9" ht="29" x14ac:dyDescent="0.35">
      <c r="A2714">
        <v>18</v>
      </c>
      <c r="B2714">
        <v>85</v>
      </c>
      <c r="C2714" t="s">
        <v>3279</v>
      </c>
      <c r="D2714" s="64">
        <f>VLOOKUP(C2714,'CHAS - Cook Co'!$C$1:$J$2762,2,FALSE) - VLOOKUP(C2714,'CHAS - Chicago'!$C$1:$J$2762,2,FALSE)</f>
        <v>460</v>
      </c>
      <c r="E2714" t="s">
        <v>373</v>
      </c>
      <c r="F2714" s="71" t="s">
        <v>508</v>
      </c>
      <c r="G2714" s="71" t="s">
        <v>3253</v>
      </c>
      <c r="H2714" s="71" t="s">
        <v>3042</v>
      </c>
      <c r="I2714" s="71" t="s">
        <v>371</v>
      </c>
    </row>
    <row r="2715" spans="1:9" ht="43.5" x14ac:dyDescent="0.35">
      <c r="A2715">
        <v>18</v>
      </c>
      <c r="B2715">
        <v>86</v>
      </c>
      <c r="C2715" t="s">
        <v>3281</v>
      </c>
      <c r="D2715" s="64">
        <f>VLOOKUP(C2715,'CHAS - Cook Co'!$C$1:$J$2762,2,FALSE) - VLOOKUP(C2715,'CHAS - Chicago'!$C$1:$J$2762,2,FALSE)</f>
        <v>0</v>
      </c>
      <c r="E2715" t="s">
        <v>373</v>
      </c>
      <c r="F2715" s="71" t="s">
        <v>3020</v>
      </c>
      <c r="G2715" s="71" t="s">
        <v>3253</v>
      </c>
      <c r="H2715" s="71" t="s">
        <v>3044</v>
      </c>
      <c r="I2715" s="71" t="s">
        <v>2805</v>
      </c>
    </row>
    <row r="2716" spans="1:9" ht="43.5" x14ac:dyDescent="0.35">
      <c r="A2716">
        <v>18</v>
      </c>
      <c r="B2716">
        <v>86</v>
      </c>
      <c r="C2716" t="s">
        <v>3280</v>
      </c>
      <c r="D2716" s="64">
        <f>VLOOKUP(C2716,'CHAS - Cook Co'!$C$1:$J$2762,2,FALSE) - VLOOKUP(C2716,'CHAS - Chicago'!$C$1:$J$2762,2,FALSE)</f>
        <v>0</v>
      </c>
      <c r="E2716" t="s">
        <v>373</v>
      </c>
      <c r="F2716" s="71" t="s">
        <v>2510</v>
      </c>
      <c r="G2716" s="71" t="s">
        <v>3253</v>
      </c>
      <c r="H2716" s="71" t="s">
        <v>3044</v>
      </c>
      <c r="I2716" s="71" t="s">
        <v>2805</v>
      </c>
    </row>
    <row r="2717" spans="1:9" ht="43.5" x14ac:dyDescent="0.35">
      <c r="A2717">
        <v>18</v>
      </c>
      <c r="B2717">
        <v>86</v>
      </c>
      <c r="C2717" t="s">
        <v>3282</v>
      </c>
      <c r="D2717" s="64">
        <f>VLOOKUP(C2717,'CHAS - Cook Co'!$C$1:$J$2762,2,FALSE) - VLOOKUP(C2717,'CHAS - Chicago'!$C$1:$J$2762,2,FALSE)</f>
        <v>295</v>
      </c>
      <c r="E2717" t="s">
        <v>373</v>
      </c>
      <c r="F2717" s="71" t="s">
        <v>508</v>
      </c>
      <c r="G2717" s="71" t="s">
        <v>3253</v>
      </c>
      <c r="H2717" s="71" t="s">
        <v>3042</v>
      </c>
      <c r="I2717" s="71" t="s">
        <v>2805</v>
      </c>
    </row>
    <row r="2718" spans="1:9" ht="43.5" x14ac:dyDescent="0.35">
      <c r="A2718">
        <v>18</v>
      </c>
      <c r="B2718">
        <v>87</v>
      </c>
      <c r="C2718" t="s">
        <v>3284</v>
      </c>
      <c r="D2718" s="64">
        <f>VLOOKUP(C2718,'CHAS - Cook Co'!$C$1:$J$2762,2,FALSE) - VLOOKUP(C2718,'CHAS - Chicago'!$C$1:$J$2762,2,FALSE)</f>
        <v>4</v>
      </c>
      <c r="E2718" t="s">
        <v>373</v>
      </c>
      <c r="F2718" s="71" t="s">
        <v>3020</v>
      </c>
      <c r="G2718" s="71" t="s">
        <v>3253</v>
      </c>
      <c r="H2718" s="71" t="s">
        <v>3044</v>
      </c>
      <c r="I2718" s="71" t="s">
        <v>2827</v>
      </c>
    </row>
    <row r="2719" spans="1:9" ht="43.5" x14ac:dyDescent="0.35">
      <c r="A2719">
        <v>18</v>
      </c>
      <c r="B2719">
        <v>87</v>
      </c>
      <c r="C2719" t="s">
        <v>3283</v>
      </c>
      <c r="D2719" s="64">
        <f>VLOOKUP(C2719,'CHAS - Cook Co'!$C$1:$J$2762,2,FALSE) - VLOOKUP(C2719,'CHAS - Chicago'!$C$1:$J$2762,2,FALSE)</f>
        <v>0</v>
      </c>
      <c r="E2719" t="s">
        <v>373</v>
      </c>
      <c r="F2719" s="71" t="s">
        <v>2510</v>
      </c>
      <c r="G2719" s="71" t="s">
        <v>3253</v>
      </c>
      <c r="H2719" s="71" t="s">
        <v>3044</v>
      </c>
      <c r="I2719" s="71" t="s">
        <v>2827</v>
      </c>
    </row>
    <row r="2720" spans="1:9" ht="43.5" x14ac:dyDescent="0.35">
      <c r="A2720">
        <v>18</v>
      </c>
      <c r="B2720">
        <v>87</v>
      </c>
      <c r="C2720" t="s">
        <v>3285</v>
      </c>
      <c r="D2720" s="64">
        <f>VLOOKUP(C2720,'CHAS - Cook Co'!$C$1:$J$2762,2,FALSE) - VLOOKUP(C2720,'CHAS - Chicago'!$C$1:$J$2762,2,FALSE)</f>
        <v>345</v>
      </c>
      <c r="E2720" t="s">
        <v>373</v>
      </c>
      <c r="F2720" s="71" t="s">
        <v>508</v>
      </c>
      <c r="G2720" s="71" t="s">
        <v>3253</v>
      </c>
      <c r="H2720" s="71" t="s">
        <v>3042</v>
      </c>
      <c r="I2720" s="71" t="s">
        <v>2827</v>
      </c>
    </row>
    <row r="2721" spans="1:9" ht="43.5" x14ac:dyDescent="0.35">
      <c r="A2721">
        <v>18</v>
      </c>
      <c r="B2721">
        <v>88</v>
      </c>
      <c r="C2721" t="s">
        <v>3287</v>
      </c>
      <c r="D2721" s="64">
        <f>VLOOKUP(C2721,'CHAS - Cook Co'!$C$1:$J$2762,2,FALSE) - VLOOKUP(C2721,'CHAS - Chicago'!$C$1:$J$2762,2,FALSE)</f>
        <v>40</v>
      </c>
      <c r="E2721" t="s">
        <v>373</v>
      </c>
      <c r="F2721" s="71" t="s">
        <v>3020</v>
      </c>
      <c r="G2721" s="71" t="s">
        <v>3253</v>
      </c>
      <c r="H2721" s="71" t="s">
        <v>3044</v>
      </c>
      <c r="I2721" s="71" t="s">
        <v>3035</v>
      </c>
    </row>
    <row r="2722" spans="1:9" ht="43.5" x14ac:dyDescent="0.35">
      <c r="A2722">
        <v>18</v>
      </c>
      <c r="B2722">
        <v>88</v>
      </c>
      <c r="C2722" t="s">
        <v>3286</v>
      </c>
      <c r="D2722" s="64">
        <f>VLOOKUP(C2722,'CHAS - Cook Co'!$C$1:$J$2762,2,FALSE) - VLOOKUP(C2722,'CHAS - Chicago'!$C$1:$J$2762,2,FALSE)</f>
        <v>0</v>
      </c>
      <c r="E2722" t="s">
        <v>373</v>
      </c>
      <c r="F2722" s="71" t="s">
        <v>2510</v>
      </c>
      <c r="G2722" s="71" t="s">
        <v>3253</v>
      </c>
      <c r="H2722" s="71" t="s">
        <v>3044</v>
      </c>
      <c r="I2722" s="71" t="s">
        <v>3035</v>
      </c>
    </row>
    <row r="2723" spans="1:9" ht="43.5" x14ac:dyDescent="0.35">
      <c r="A2723">
        <v>18</v>
      </c>
      <c r="B2723">
        <v>88</v>
      </c>
      <c r="C2723" t="s">
        <v>3288</v>
      </c>
      <c r="D2723" s="64">
        <f>VLOOKUP(C2723,'CHAS - Cook Co'!$C$1:$J$2762,2,FALSE) - VLOOKUP(C2723,'CHAS - Chicago'!$C$1:$J$2762,2,FALSE)</f>
        <v>100</v>
      </c>
      <c r="E2723" t="s">
        <v>373</v>
      </c>
      <c r="F2723" s="71" t="s">
        <v>508</v>
      </c>
      <c r="G2723" s="71" t="s">
        <v>3253</v>
      </c>
      <c r="H2723" s="71" t="s">
        <v>3042</v>
      </c>
      <c r="I2723" s="71" t="s">
        <v>3035</v>
      </c>
    </row>
    <row r="2724" spans="1:9" ht="43.5" x14ac:dyDescent="0.35">
      <c r="A2724">
        <v>18</v>
      </c>
      <c r="B2724">
        <v>89</v>
      </c>
      <c r="C2724" t="s">
        <v>3290</v>
      </c>
      <c r="D2724" s="64">
        <f>VLOOKUP(C2724,'CHAS - Cook Co'!$C$1:$J$2762,2,FALSE) - VLOOKUP(C2724,'CHAS - Chicago'!$C$1:$J$2762,2,FALSE)</f>
        <v>85</v>
      </c>
      <c r="E2724" t="s">
        <v>373</v>
      </c>
      <c r="F2724" s="71" t="s">
        <v>3020</v>
      </c>
      <c r="G2724" s="71" t="s">
        <v>3253</v>
      </c>
      <c r="H2724" s="71" t="s">
        <v>3044</v>
      </c>
      <c r="I2724" s="71" t="s">
        <v>415</v>
      </c>
    </row>
    <row r="2725" spans="1:9" ht="43.5" x14ac:dyDescent="0.35">
      <c r="A2725">
        <v>18</v>
      </c>
      <c r="B2725">
        <v>89</v>
      </c>
      <c r="C2725" t="s">
        <v>3291</v>
      </c>
      <c r="D2725" s="64">
        <f>VLOOKUP(C2725,'CHAS - Cook Co'!$C$1:$J$2762,2,FALSE) - VLOOKUP(C2725,'CHAS - Chicago'!$C$1:$J$2762,2,FALSE)</f>
        <v>15</v>
      </c>
      <c r="E2725" t="s">
        <v>373</v>
      </c>
      <c r="F2725" s="71" t="s">
        <v>2510</v>
      </c>
      <c r="G2725" s="71" t="s">
        <v>3253</v>
      </c>
      <c r="H2725" s="71" t="s">
        <v>3044</v>
      </c>
      <c r="I2725" s="71" t="s">
        <v>415</v>
      </c>
    </row>
    <row r="2726" spans="1:9" ht="29" x14ac:dyDescent="0.35">
      <c r="A2726">
        <v>18</v>
      </c>
      <c r="B2726">
        <v>89</v>
      </c>
      <c r="C2726" t="s">
        <v>3289</v>
      </c>
      <c r="D2726" s="64">
        <f>VLOOKUP(C2726,'CHAS - Cook Co'!$C$1:$J$2762,2,FALSE) - VLOOKUP(C2726,'CHAS - Chicago'!$C$1:$J$2762,2,FALSE)</f>
        <v>160</v>
      </c>
      <c r="E2726" t="s">
        <v>373</v>
      </c>
      <c r="F2726" s="71" t="s">
        <v>508</v>
      </c>
      <c r="G2726" s="71" t="s">
        <v>3253</v>
      </c>
      <c r="H2726" s="71" t="s">
        <v>3042</v>
      </c>
      <c r="I2726" s="71" t="s">
        <v>415</v>
      </c>
    </row>
    <row r="2727" spans="1:9" ht="43.5" x14ac:dyDescent="0.35">
      <c r="A2727">
        <v>18</v>
      </c>
      <c r="B2727">
        <v>90</v>
      </c>
      <c r="C2727" t="s">
        <v>3292</v>
      </c>
      <c r="D2727" s="64">
        <f>VLOOKUP(C2727,'CHAS - Cook Co'!$C$1:$J$2762,2,FALSE) - VLOOKUP(C2727,'CHAS - Chicago'!$C$1:$J$2762,2,FALSE)</f>
        <v>75</v>
      </c>
      <c r="E2727" t="s">
        <v>366</v>
      </c>
      <c r="F2727" s="71" t="s">
        <v>3020</v>
      </c>
      <c r="G2727" s="71" t="s">
        <v>3253</v>
      </c>
      <c r="H2727" s="71" t="s">
        <v>3064</v>
      </c>
      <c r="I2727" s="71" t="s">
        <v>363</v>
      </c>
    </row>
    <row r="2728" spans="1:9" ht="43.5" x14ac:dyDescent="0.35">
      <c r="A2728">
        <v>18</v>
      </c>
      <c r="B2728">
        <v>90</v>
      </c>
      <c r="C2728" t="s">
        <v>3293</v>
      </c>
      <c r="D2728" s="64">
        <f>VLOOKUP(C2728,'CHAS - Cook Co'!$C$1:$J$2762,2,FALSE) - VLOOKUP(C2728,'CHAS - Chicago'!$C$1:$J$2762,2,FALSE)</f>
        <v>0</v>
      </c>
      <c r="E2728" t="s">
        <v>366</v>
      </c>
      <c r="F2728" s="71" t="s">
        <v>2510</v>
      </c>
      <c r="G2728" s="71" t="s">
        <v>3253</v>
      </c>
      <c r="H2728" s="71" t="s">
        <v>3064</v>
      </c>
      <c r="I2728" s="71" t="s">
        <v>363</v>
      </c>
    </row>
    <row r="2729" spans="1:9" ht="29" x14ac:dyDescent="0.35">
      <c r="A2729">
        <v>18</v>
      </c>
      <c r="B2729">
        <v>90</v>
      </c>
      <c r="C2729" t="s">
        <v>3294</v>
      </c>
      <c r="D2729" s="64">
        <f>VLOOKUP(C2729,'CHAS - Cook Co'!$C$1:$J$2762,2,FALSE) - VLOOKUP(C2729,'CHAS - Chicago'!$C$1:$J$2762,2,FALSE)</f>
        <v>870</v>
      </c>
      <c r="E2729" t="s">
        <v>366</v>
      </c>
      <c r="F2729" s="71" t="s">
        <v>508</v>
      </c>
      <c r="G2729" s="71" t="s">
        <v>3253</v>
      </c>
      <c r="H2729" s="71" t="s">
        <v>3062</v>
      </c>
      <c r="I2729" s="71" t="s">
        <v>363</v>
      </c>
    </row>
    <row r="2730" spans="1:9" ht="43.5" x14ac:dyDescent="0.35">
      <c r="A2730">
        <v>18</v>
      </c>
      <c r="B2730">
        <v>91</v>
      </c>
      <c r="C2730" t="s">
        <v>3297</v>
      </c>
      <c r="D2730" s="64">
        <f>VLOOKUP(C2730,'CHAS - Cook Co'!$C$1:$J$2762,2,FALSE) - VLOOKUP(C2730,'CHAS - Chicago'!$C$1:$J$2762,2,FALSE)</f>
        <v>10</v>
      </c>
      <c r="E2730" t="s">
        <v>373</v>
      </c>
      <c r="F2730" s="71" t="s">
        <v>3020</v>
      </c>
      <c r="G2730" s="71" t="s">
        <v>3253</v>
      </c>
      <c r="H2730" s="71" t="s">
        <v>3064</v>
      </c>
      <c r="I2730" s="71" t="s">
        <v>371</v>
      </c>
    </row>
    <row r="2731" spans="1:9" ht="43.5" x14ac:dyDescent="0.35">
      <c r="A2731">
        <v>18</v>
      </c>
      <c r="B2731">
        <v>91</v>
      </c>
      <c r="C2731" t="s">
        <v>3296</v>
      </c>
      <c r="D2731" s="64">
        <f>VLOOKUP(C2731,'CHAS - Cook Co'!$C$1:$J$2762,2,FALSE) - VLOOKUP(C2731,'CHAS - Chicago'!$C$1:$J$2762,2,FALSE)</f>
        <v>0</v>
      </c>
      <c r="E2731" t="s">
        <v>373</v>
      </c>
      <c r="F2731" s="71" t="s">
        <v>2510</v>
      </c>
      <c r="G2731" s="71" t="s">
        <v>3253</v>
      </c>
      <c r="H2731" s="71" t="s">
        <v>3064</v>
      </c>
      <c r="I2731" s="71" t="s">
        <v>371</v>
      </c>
    </row>
    <row r="2732" spans="1:9" ht="29" x14ac:dyDescent="0.35">
      <c r="A2732">
        <v>18</v>
      </c>
      <c r="B2732">
        <v>91</v>
      </c>
      <c r="C2732" t="s">
        <v>3295</v>
      </c>
      <c r="D2732" s="64">
        <f>VLOOKUP(C2732,'CHAS - Cook Co'!$C$1:$J$2762,2,FALSE) - VLOOKUP(C2732,'CHAS - Chicago'!$C$1:$J$2762,2,FALSE)</f>
        <v>285</v>
      </c>
      <c r="E2732" t="s">
        <v>373</v>
      </c>
      <c r="F2732" s="71" t="s">
        <v>508</v>
      </c>
      <c r="G2732" s="71" t="s">
        <v>3253</v>
      </c>
      <c r="H2732" s="71" t="s">
        <v>3062</v>
      </c>
      <c r="I2732" s="71" t="s">
        <v>371</v>
      </c>
    </row>
    <row r="2733" spans="1:9" ht="43.5" x14ac:dyDescent="0.35">
      <c r="A2733">
        <v>18</v>
      </c>
      <c r="B2733">
        <v>92</v>
      </c>
      <c r="C2733" t="s">
        <v>3300</v>
      </c>
      <c r="D2733" s="64">
        <f>VLOOKUP(C2733,'CHAS - Cook Co'!$C$1:$J$2762,2,FALSE) - VLOOKUP(C2733,'CHAS - Chicago'!$C$1:$J$2762,2,FALSE)</f>
        <v>30</v>
      </c>
      <c r="E2733" t="s">
        <v>373</v>
      </c>
      <c r="F2733" s="71" t="s">
        <v>3020</v>
      </c>
      <c r="G2733" s="71" t="s">
        <v>3253</v>
      </c>
      <c r="H2733" s="71" t="s">
        <v>3064</v>
      </c>
      <c r="I2733" s="71" t="s">
        <v>2805</v>
      </c>
    </row>
    <row r="2734" spans="1:9" ht="43.5" x14ac:dyDescent="0.35">
      <c r="A2734">
        <v>18</v>
      </c>
      <c r="B2734">
        <v>92</v>
      </c>
      <c r="C2734" t="s">
        <v>3299</v>
      </c>
      <c r="D2734" s="64">
        <f>VLOOKUP(C2734,'CHAS - Cook Co'!$C$1:$J$2762,2,FALSE) - VLOOKUP(C2734,'CHAS - Chicago'!$C$1:$J$2762,2,FALSE)</f>
        <v>0</v>
      </c>
      <c r="E2734" t="s">
        <v>373</v>
      </c>
      <c r="F2734" s="71" t="s">
        <v>2510</v>
      </c>
      <c r="G2734" s="71" t="s">
        <v>3253</v>
      </c>
      <c r="H2734" s="71" t="s">
        <v>3064</v>
      </c>
      <c r="I2734" s="71" t="s">
        <v>2805</v>
      </c>
    </row>
    <row r="2735" spans="1:9" ht="43.5" x14ac:dyDescent="0.35">
      <c r="A2735">
        <v>18</v>
      </c>
      <c r="B2735">
        <v>92</v>
      </c>
      <c r="C2735" t="s">
        <v>3298</v>
      </c>
      <c r="D2735" s="64">
        <f>VLOOKUP(C2735,'CHAS - Cook Co'!$C$1:$J$2762,2,FALSE) - VLOOKUP(C2735,'CHAS - Chicago'!$C$1:$J$2762,2,FALSE)</f>
        <v>115</v>
      </c>
      <c r="E2735" t="s">
        <v>373</v>
      </c>
      <c r="F2735" s="71" t="s">
        <v>508</v>
      </c>
      <c r="G2735" s="71" t="s">
        <v>3253</v>
      </c>
      <c r="H2735" s="71" t="s">
        <v>3062</v>
      </c>
      <c r="I2735" s="71" t="s">
        <v>2805</v>
      </c>
    </row>
    <row r="2736" spans="1:9" ht="43.5" x14ac:dyDescent="0.35">
      <c r="A2736">
        <v>18</v>
      </c>
      <c r="B2736">
        <v>93</v>
      </c>
      <c r="C2736" t="s">
        <v>3303</v>
      </c>
      <c r="D2736" s="64">
        <f>VLOOKUP(C2736,'CHAS - Cook Co'!$C$1:$J$2762,2,FALSE) - VLOOKUP(C2736,'CHAS - Chicago'!$C$1:$J$2762,2,FALSE)</f>
        <v>11</v>
      </c>
      <c r="E2736" t="s">
        <v>373</v>
      </c>
      <c r="F2736" s="71" t="s">
        <v>3020</v>
      </c>
      <c r="G2736" s="71" t="s">
        <v>3253</v>
      </c>
      <c r="H2736" s="71" t="s">
        <v>3064</v>
      </c>
      <c r="I2736" s="71" t="s">
        <v>2827</v>
      </c>
    </row>
    <row r="2737" spans="1:9" ht="43.5" x14ac:dyDescent="0.35">
      <c r="A2737">
        <v>18</v>
      </c>
      <c r="B2737">
        <v>93</v>
      </c>
      <c r="C2737" t="s">
        <v>3302</v>
      </c>
      <c r="D2737" s="64">
        <f>VLOOKUP(C2737,'CHAS - Cook Co'!$C$1:$J$2762,2,FALSE) - VLOOKUP(C2737,'CHAS - Chicago'!$C$1:$J$2762,2,FALSE)</f>
        <v>0</v>
      </c>
      <c r="E2737" t="s">
        <v>373</v>
      </c>
      <c r="F2737" s="71" t="s">
        <v>2510</v>
      </c>
      <c r="G2737" s="71" t="s">
        <v>3253</v>
      </c>
      <c r="H2737" s="71" t="s">
        <v>3064</v>
      </c>
      <c r="I2737" s="71" t="s">
        <v>2827</v>
      </c>
    </row>
    <row r="2738" spans="1:9" ht="43.5" x14ac:dyDescent="0.35">
      <c r="A2738">
        <v>18</v>
      </c>
      <c r="B2738">
        <v>93</v>
      </c>
      <c r="C2738" t="s">
        <v>3301</v>
      </c>
      <c r="D2738" s="64">
        <f>VLOOKUP(C2738,'CHAS - Cook Co'!$C$1:$J$2762,2,FALSE) - VLOOKUP(C2738,'CHAS - Chicago'!$C$1:$J$2762,2,FALSE)</f>
        <v>235</v>
      </c>
      <c r="E2738" t="s">
        <v>373</v>
      </c>
      <c r="F2738" s="71" t="s">
        <v>508</v>
      </c>
      <c r="G2738" s="71" t="s">
        <v>3253</v>
      </c>
      <c r="H2738" s="71" t="s">
        <v>3062</v>
      </c>
      <c r="I2738" s="71" t="s">
        <v>2827</v>
      </c>
    </row>
    <row r="2739" spans="1:9" ht="43.5" x14ac:dyDescent="0.35">
      <c r="A2739">
        <v>18</v>
      </c>
      <c r="B2739">
        <v>94</v>
      </c>
      <c r="C2739" t="s">
        <v>3304</v>
      </c>
      <c r="D2739" s="64">
        <f>VLOOKUP(C2739,'CHAS - Cook Co'!$C$1:$J$2762,2,FALSE) - VLOOKUP(C2739,'CHAS - Chicago'!$C$1:$J$2762,2,FALSE)</f>
        <v>0</v>
      </c>
      <c r="E2739" t="s">
        <v>373</v>
      </c>
      <c r="F2739" s="71" t="s">
        <v>3020</v>
      </c>
      <c r="G2739" s="71" t="s">
        <v>3253</v>
      </c>
      <c r="H2739" s="71" t="s">
        <v>3064</v>
      </c>
      <c r="I2739" s="71" t="s">
        <v>3035</v>
      </c>
    </row>
    <row r="2740" spans="1:9" ht="43.5" x14ac:dyDescent="0.35">
      <c r="A2740">
        <v>18</v>
      </c>
      <c r="B2740">
        <v>94</v>
      </c>
      <c r="C2740" t="s">
        <v>3305</v>
      </c>
      <c r="D2740" s="64">
        <f>VLOOKUP(C2740,'CHAS - Cook Co'!$C$1:$J$2762,2,FALSE) - VLOOKUP(C2740,'CHAS - Chicago'!$C$1:$J$2762,2,FALSE)</f>
        <v>0</v>
      </c>
      <c r="E2740" t="s">
        <v>373</v>
      </c>
      <c r="F2740" s="71" t="s">
        <v>2510</v>
      </c>
      <c r="G2740" s="71" t="s">
        <v>3253</v>
      </c>
      <c r="H2740" s="71" t="s">
        <v>3064</v>
      </c>
      <c r="I2740" s="71" t="s">
        <v>3035</v>
      </c>
    </row>
    <row r="2741" spans="1:9" ht="43.5" x14ac:dyDescent="0.35">
      <c r="A2741">
        <v>18</v>
      </c>
      <c r="B2741">
        <v>94</v>
      </c>
      <c r="C2741" t="s">
        <v>3306</v>
      </c>
      <c r="D2741" s="64">
        <f>VLOOKUP(C2741,'CHAS - Cook Co'!$C$1:$J$2762,2,FALSE) - VLOOKUP(C2741,'CHAS - Chicago'!$C$1:$J$2762,2,FALSE)</f>
        <v>130</v>
      </c>
      <c r="E2741" t="s">
        <v>373</v>
      </c>
      <c r="F2741" s="71" t="s">
        <v>508</v>
      </c>
      <c r="G2741" s="71" t="s">
        <v>3253</v>
      </c>
      <c r="H2741" s="71" t="s">
        <v>3062</v>
      </c>
      <c r="I2741" s="71" t="s">
        <v>3035</v>
      </c>
    </row>
    <row r="2742" spans="1:9" ht="43.5" x14ac:dyDescent="0.35">
      <c r="A2742">
        <v>18</v>
      </c>
      <c r="B2742">
        <v>95</v>
      </c>
      <c r="C2742" t="s">
        <v>3309</v>
      </c>
      <c r="D2742" s="64">
        <f>VLOOKUP(C2742,'CHAS - Cook Co'!$C$1:$J$2762,2,FALSE) - VLOOKUP(C2742,'CHAS - Chicago'!$C$1:$J$2762,2,FALSE)</f>
        <v>30</v>
      </c>
      <c r="E2742" t="s">
        <v>373</v>
      </c>
      <c r="F2742" s="71" t="s">
        <v>3020</v>
      </c>
      <c r="G2742" s="71" t="s">
        <v>3253</v>
      </c>
      <c r="H2742" s="71" t="s">
        <v>3064</v>
      </c>
      <c r="I2742" s="71" t="s">
        <v>415</v>
      </c>
    </row>
    <row r="2743" spans="1:9" ht="43.5" x14ac:dyDescent="0.35">
      <c r="A2743">
        <v>18</v>
      </c>
      <c r="B2743">
        <v>95</v>
      </c>
      <c r="C2743" t="s">
        <v>3307</v>
      </c>
      <c r="D2743" s="64">
        <f>VLOOKUP(C2743,'CHAS - Cook Co'!$C$1:$J$2762,2,FALSE) - VLOOKUP(C2743,'CHAS - Chicago'!$C$1:$J$2762,2,FALSE)</f>
        <v>0</v>
      </c>
      <c r="E2743" t="s">
        <v>373</v>
      </c>
      <c r="F2743" s="71" t="s">
        <v>2510</v>
      </c>
      <c r="G2743" s="71" t="s">
        <v>3253</v>
      </c>
      <c r="H2743" s="71" t="s">
        <v>3064</v>
      </c>
      <c r="I2743" s="71" t="s">
        <v>415</v>
      </c>
    </row>
    <row r="2744" spans="1:9" ht="29" x14ac:dyDescent="0.35">
      <c r="A2744">
        <v>18</v>
      </c>
      <c r="B2744">
        <v>95</v>
      </c>
      <c r="C2744" t="s">
        <v>3308</v>
      </c>
      <c r="D2744" s="64">
        <f>VLOOKUP(C2744,'CHAS - Cook Co'!$C$1:$J$2762,2,FALSE) - VLOOKUP(C2744,'CHAS - Chicago'!$C$1:$J$2762,2,FALSE)</f>
        <v>100</v>
      </c>
      <c r="E2744" t="s">
        <v>373</v>
      </c>
      <c r="F2744" s="71" t="s">
        <v>508</v>
      </c>
      <c r="G2744" s="71" t="s">
        <v>3253</v>
      </c>
      <c r="H2744" s="71" t="s">
        <v>3062</v>
      </c>
      <c r="I2744" s="71" t="s">
        <v>415</v>
      </c>
    </row>
    <row r="2745" spans="1:9" ht="29" x14ac:dyDescent="0.35">
      <c r="A2745">
        <v>18</v>
      </c>
      <c r="B2745">
        <v>96</v>
      </c>
      <c r="C2745" t="s">
        <v>3312</v>
      </c>
      <c r="D2745" s="64">
        <f>VLOOKUP(C2745,'CHAS - Cook Co'!$C$1:$J$2762,2,FALSE) - VLOOKUP(C2745,'CHAS - Chicago'!$C$1:$J$2762,2,FALSE)</f>
        <v>25</v>
      </c>
      <c r="E2745" t="s">
        <v>366</v>
      </c>
      <c r="F2745" s="71" t="s">
        <v>3020</v>
      </c>
      <c r="G2745" s="71" t="s">
        <v>3253</v>
      </c>
      <c r="H2745" s="71" t="s">
        <v>3083</v>
      </c>
      <c r="I2745" s="71" t="s">
        <v>363</v>
      </c>
    </row>
    <row r="2746" spans="1:9" ht="29" x14ac:dyDescent="0.35">
      <c r="A2746">
        <v>18</v>
      </c>
      <c r="B2746">
        <v>96</v>
      </c>
      <c r="C2746" t="s">
        <v>3311</v>
      </c>
      <c r="D2746" s="64">
        <f>VLOOKUP(C2746,'CHAS - Cook Co'!$C$1:$J$2762,2,FALSE) - VLOOKUP(C2746,'CHAS - Chicago'!$C$1:$J$2762,2,FALSE)</f>
        <v>65</v>
      </c>
      <c r="E2746" t="s">
        <v>366</v>
      </c>
      <c r="F2746" s="71" t="s">
        <v>2510</v>
      </c>
      <c r="G2746" s="71" t="s">
        <v>3253</v>
      </c>
      <c r="H2746" s="71" t="s">
        <v>3083</v>
      </c>
      <c r="I2746" s="71" t="s">
        <v>363</v>
      </c>
    </row>
    <row r="2747" spans="1:9" ht="29" x14ac:dyDescent="0.35">
      <c r="A2747">
        <v>18</v>
      </c>
      <c r="B2747">
        <v>96</v>
      </c>
      <c r="C2747" t="s">
        <v>3310</v>
      </c>
      <c r="D2747" s="64">
        <f>VLOOKUP(C2747,'CHAS - Cook Co'!$C$1:$J$2762,2,FALSE) - VLOOKUP(C2747,'CHAS - Chicago'!$C$1:$J$2762,2,FALSE)</f>
        <v>15</v>
      </c>
      <c r="E2747" t="s">
        <v>366</v>
      </c>
      <c r="F2747" s="71" t="s">
        <v>508</v>
      </c>
      <c r="G2747" s="71" t="s">
        <v>3253</v>
      </c>
      <c r="H2747" s="71" t="s">
        <v>2491</v>
      </c>
      <c r="I2747" s="71" t="s">
        <v>363</v>
      </c>
    </row>
    <row r="2748" spans="1:9" ht="29" x14ac:dyDescent="0.35">
      <c r="A2748">
        <v>18</v>
      </c>
      <c r="B2748">
        <v>97</v>
      </c>
      <c r="C2748" t="s">
        <v>3314</v>
      </c>
      <c r="D2748" s="64">
        <f>VLOOKUP(C2748,'CHAS - Cook Co'!$C$1:$J$2762,2,FALSE) - VLOOKUP(C2748,'CHAS - Chicago'!$C$1:$J$2762,2,FALSE)</f>
        <v>11</v>
      </c>
      <c r="E2748" t="s">
        <v>373</v>
      </c>
      <c r="F2748" s="71" t="s">
        <v>3020</v>
      </c>
      <c r="G2748" s="71" t="s">
        <v>3253</v>
      </c>
      <c r="H2748" s="71" t="s">
        <v>3083</v>
      </c>
      <c r="I2748" s="71" t="s">
        <v>371</v>
      </c>
    </row>
    <row r="2749" spans="1:9" ht="29" x14ac:dyDescent="0.35">
      <c r="A2749">
        <v>18</v>
      </c>
      <c r="B2749">
        <v>97</v>
      </c>
      <c r="C2749" t="s">
        <v>3313</v>
      </c>
      <c r="D2749" s="64">
        <f>VLOOKUP(C2749,'CHAS - Cook Co'!$C$1:$J$2762,2,FALSE) - VLOOKUP(C2749,'CHAS - Chicago'!$C$1:$J$2762,2,FALSE)</f>
        <v>15</v>
      </c>
      <c r="E2749" t="s">
        <v>373</v>
      </c>
      <c r="F2749" s="71" t="s">
        <v>2510</v>
      </c>
      <c r="G2749" s="71" t="s">
        <v>3253</v>
      </c>
      <c r="H2749" s="71" t="s">
        <v>3083</v>
      </c>
      <c r="I2749" s="71" t="s">
        <v>371</v>
      </c>
    </row>
    <row r="2750" spans="1:9" ht="29" x14ac:dyDescent="0.35">
      <c r="A2750">
        <v>18</v>
      </c>
      <c r="B2750">
        <v>97</v>
      </c>
      <c r="C2750" t="s">
        <v>3315</v>
      </c>
      <c r="D2750" s="64">
        <f>VLOOKUP(C2750,'CHAS - Cook Co'!$C$1:$J$2762,2,FALSE) - VLOOKUP(C2750,'CHAS - Chicago'!$C$1:$J$2762,2,FALSE)</f>
        <v>11</v>
      </c>
      <c r="E2750" t="s">
        <v>373</v>
      </c>
      <c r="F2750" s="71" t="s">
        <v>508</v>
      </c>
      <c r="G2750" s="71" t="s">
        <v>3253</v>
      </c>
      <c r="H2750" s="71" t="s">
        <v>2491</v>
      </c>
      <c r="I2750" s="71" t="s">
        <v>371</v>
      </c>
    </row>
    <row r="2751" spans="1:9" ht="43.5" x14ac:dyDescent="0.35">
      <c r="A2751">
        <v>18</v>
      </c>
      <c r="B2751">
        <v>98</v>
      </c>
      <c r="C2751" t="s">
        <v>3317</v>
      </c>
      <c r="D2751" s="64">
        <f>VLOOKUP(C2751,'CHAS - Cook Co'!$C$1:$J$2762,2,FALSE) - VLOOKUP(C2751,'CHAS - Chicago'!$C$1:$J$2762,2,FALSE)</f>
        <v>5</v>
      </c>
      <c r="E2751" t="s">
        <v>373</v>
      </c>
      <c r="F2751" s="71" t="s">
        <v>3020</v>
      </c>
      <c r="G2751" s="71" t="s">
        <v>3253</v>
      </c>
      <c r="H2751" s="71" t="s">
        <v>3083</v>
      </c>
      <c r="I2751" s="71" t="s">
        <v>2805</v>
      </c>
    </row>
    <row r="2752" spans="1:9" ht="43.5" x14ac:dyDescent="0.35">
      <c r="A2752">
        <v>18</v>
      </c>
      <c r="B2752">
        <v>98</v>
      </c>
      <c r="C2752" t="s">
        <v>3316</v>
      </c>
      <c r="D2752" s="64">
        <f>VLOOKUP(C2752,'CHAS - Cook Co'!$C$1:$J$2762,2,FALSE) - VLOOKUP(C2752,'CHAS - Chicago'!$C$1:$J$2762,2,FALSE)</f>
        <v>0</v>
      </c>
      <c r="E2752" t="s">
        <v>373</v>
      </c>
      <c r="F2752" s="71" t="s">
        <v>2510</v>
      </c>
      <c r="G2752" s="71" t="s">
        <v>3253</v>
      </c>
      <c r="H2752" s="71" t="s">
        <v>3083</v>
      </c>
      <c r="I2752" s="71" t="s">
        <v>2805</v>
      </c>
    </row>
    <row r="2753" spans="1:9" ht="43.5" x14ac:dyDescent="0.35">
      <c r="A2753">
        <v>18</v>
      </c>
      <c r="B2753">
        <v>98</v>
      </c>
      <c r="C2753" t="s">
        <v>3318</v>
      </c>
      <c r="D2753" s="64">
        <f>VLOOKUP(C2753,'CHAS - Cook Co'!$C$1:$J$2762,2,FALSE) - VLOOKUP(C2753,'CHAS - Chicago'!$C$1:$J$2762,2,FALSE)</f>
        <v>0</v>
      </c>
      <c r="E2753" t="s">
        <v>373</v>
      </c>
      <c r="F2753" s="71" t="s">
        <v>508</v>
      </c>
      <c r="G2753" s="71" t="s">
        <v>3253</v>
      </c>
      <c r="H2753" s="71" t="s">
        <v>2491</v>
      </c>
      <c r="I2753" s="71" t="s">
        <v>2805</v>
      </c>
    </row>
    <row r="2754" spans="1:9" ht="43.5" x14ac:dyDescent="0.35">
      <c r="A2754">
        <v>18</v>
      </c>
      <c r="B2754">
        <v>99</v>
      </c>
      <c r="C2754" t="s">
        <v>3321</v>
      </c>
      <c r="D2754" s="64">
        <f>VLOOKUP(C2754,'CHAS - Cook Co'!$C$1:$J$2762,2,FALSE) - VLOOKUP(C2754,'CHAS - Chicago'!$C$1:$J$2762,2,FALSE)</f>
        <v>10</v>
      </c>
      <c r="E2754" t="s">
        <v>373</v>
      </c>
      <c r="F2754" s="71" t="s">
        <v>3020</v>
      </c>
      <c r="G2754" s="71" t="s">
        <v>3253</v>
      </c>
      <c r="H2754" s="71" t="s">
        <v>3083</v>
      </c>
      <c r="I2754" s="71" t="s">
        <v>2827</v>
      </c>
    </row>
    <row r="2755" spans="1:9" ht="43.5" x14ac:dyDescent="0.35">
      <c r="A2755">
        <v>18</v>
      </c>
      <c r="B2755">
        <v>99</v>
      </c>
      <c r="C2755" t="s">
        <v>3319</v>
      </c>
      <c r="D2755" s="64">
        <f>VLOOKUP(C2755,'CHAS - Cook Co'!$C$1:$J$2762,2,FALSE) - VLOOKUP(C2755,'CHAS - Chicago'!$C$1:$J$2762,2,FALSE)</f>
        <v>10</v>
      </c>
      <c r="E2755" t="s">
        <v>373</v>
      </c>
      <c r="F2755" s="71" t="s">
        <v>2510</v>
      </c>
      <c r="G2755" s="71" t="s">
        <v>3253</v>
      </c>
      <c r="H2755" s="71" t="s">
        <v>3083</v>
      </c>
      <c r="I2755" s="71" t="s">
        <v>2827</v>
      </c>
    </row>
    <row r="2756" spans="1:9" ht="43.5" x14ac:dyDescent="0.35">
      <c r="A2756">
        <v>18</v>
      </c>
      <c r="B2756">
        <v>99</v>
      </c>
      <c r="C2756" t="s">
        <v>3320</v>
      </c>
      <c r="D2756" s="64">
        <f>VLOOKUP(C2756,'CHAS - Cook Co'!$C$1:$J$2762,2,FALSE) - VLOOKUP(C2756,'CHAS - Chicago'!$C$1:$J$2762,2,FALSE)</f>
        <v>0</v>
      </c>
      <c r="E2756" t="s">
        <v>373</v>
      </c>
      <c r="F2756" s="71" t="s">
        <v>508</v>
      </c>
      <c r="G2756" s="71" t="s">
        <v>3253</v>
      </c>
      <c r="H2756" s="71" t="s">
        <v>2491</v>
      </c>
      <c r="I2756" s="71" t="s">
        <v>2827</v>
      </c>
    </row>
    <row r="2757" spans="1:9" ht="43.5" x14ac:dyDescent="0.35">
      <c r="A2757">
        <v>18</v>
      </c>
      <c r="B2757">
        <v>100</v>
      </c>
      <c r="C2757" t="s">
        <v>3323</v>
      </c>
      <c r="D2757" s="64">
        <f>VLOOKUP(C2757,'CHAS - Cook Co'!$C$1:$J$2762,2,FALSE) - VLOOKUP(C2757,'CHAS - Chicago'!$C$1:$J$2762,2,FALSE)</f>
        <v>0</v>
      </c>
      <c r="E2757" t="s">
        <v>373</v>
      </c>
      <c r="F2757" s="71" t="s">
        <v>3020</v>
      </c>
      <c r="G2757" s="71" t="s">
        <v>3253</v>
      </c>
      <c r="H2757" s="71" t="s">
        <v>3083</v>
      </c>
      <c r="I2757" s="71" t="s">
        <v>3035</v>
      </c>
    </row>
    <row r="2758" spans="1:9" ht="43.5" x14ac:dyDescent="0.35">
      <c r="A2758">
        <v>18</v>
      </c>
      <c r="B2758">
        <v>100</v>
      </c>
      <c r="C2758" t="s">
        <v>3322</v>
      </c>
      <c r="D2758" s="64">
        <f>VLOOKUP(C2758,'CHAS - Cook Co'!$C$1:$J$2762,2,FALSE) - VLOOKUP(C2758,'CHAS - Chicago'!$C$1:$J$2762,2,FALSE)</f>
        <v>20</v>
      </c>
      <c r="E2758" t="s">
        <v>373</v>
      </c>
      <c r="F2758" s="71" t="s">
        <v>2510</v>
      </c>
      <c r="G2758" s="71" t="s">
        <v>3253</v>
      </c>
      <c r="H2758" s="71" t="s">
        <v>3083</v>
      </c>
      <c r="I2758" s="71" t="s">
        <v>3035</v>
      </c>
    </row>
    <row r="2759" spans="1:9" ht="43.5" x14ac:dyDescent="0.35">
      <c r="A2759">
        <v>18</v>
      </c>
      <c r="B2759">
        <v>100</v>
      </c>
      <c r="C2759" t="s">
        <v>3324</v>
      </c>
      <c r="D2759" s="64">
        <f>VLOOKUP(C2759,'CHAS - Cook Co'!$C$1:$J$2762,2,FALSE) - VLOOKUP(C2759,'CHAS - Chicago'!$C$1:$J$2762,2,FALSE)</f>
        <v>0</v>
      </c>
      <c r="E2759" t="s">
        <v>373</v>
      </c>
      <c r="F2759" s="71" t="s">
        <v>508</v>
      </c>
      <c r="G2759" s="71" t="s">
        <v>3253</v>
      </c>
      <c r="H2759" s="71" t="s">
        <v>2491</v>
      </c>
      <c r="I2759" s="71" t="s">
        <v>3035</v>
      </c>
    </row>
    <row r="2760" spans="1:9" ht="29" x14ac:dyDescent="0.35">
      <c r="A2760">
        <v>18</v>
      </c>
      <c r="B2760">
        <v>101</v>
      </c>
      <c r="C2760" t="s">
        <v>3326</v>
      </c>
      <c r="D2760" s="64">
        <f>VLOOKUP(C2760,'CHAS - Cook Co'!$C$1:$J$2762,2,FALSE) - VLOOKUP(C2760,'CHAS - Chicago'!$C$1:$J$2762,2,FALSE)</f>
        <v>0</v>
      </c>
      <c r="E2760" t="s">
        <v>373</v>
      </c>
      <c r="F2760" s="71" t="s">
        <v>3020</v>
      </c>
      <c r="G2760" s="71" t="s">
        <v>3253</v>
      </c>
      <c r="H2760" s="71" t="s">
        <v>3083</v>
      </c>
      <c r="I2760" s="71" t="s">
        <v>415</v>
      </c>
    </row>
    <row r="2761" spans="1:9" ht="29" x14ac:dyDescent="0.35">
      <c r="A2761">
        <v>18</v>
      </c>
      <c r="B2761">
        <v>101</v>
      </c>
      <c r="C2761" t="s">
        <v>3327</v>
      </c>
      <c r="D2761" s="64">
        <f>VLOOKUP(C2761,'CHAS - Cook Co'!$C$1:$J$2762,2,FALSE) - VLOOKUP(C2761,'CHAS - Chicago'!$C$1:$J$2762,2,FALSE)</f>
        <v>25</v>
      </c>
      <c r="E2761" t="s">
        <v>373</v>
      </c>
      <c r="F2761" s="71" t="s">
        <v>2510</v>
      </c>
      <c r="G2761" s="71" t="s">
        <v>3253</v>
      </c>
      <c r="H2761" s="71" t="s">
        <v>3083</v>
      </c>
      <c r="I2761" s="71" t="s">
        <v>415</v>
      </c>
    </row>
    <row r="2762" spans="1:9" ht="29" x14ac:dyDescent="0.35">
      <c r="A2762">
        <v>18</v>
      </c>
      <c r="B2762">
        <v>101</v>
      </c>
      <c r="C2762" t="s">
        <v>3325</v>
      </c>
      <c r="D2762" s="64">
        <f>VLOOKUP(C2762,'CHAS - Cook Co'!$C$1:$J$2762,2,FALSE) - VLOOKUP(C2762,'CHAS - Chicago'!$C$1:$J$2762,2,FALSE)</f>
        <v>5</v>
      </c>
      <c r="E2762" t="s">
        <v>373</v>
      </c>
      <c r="F2762" s="71" t="s">
        <v>508</v>
      </c>
      <c r="G2762" s="71" t="s">
        <v>3253</v>
      </c>
      <c r="H2762" s="71" t="s">
        <v>2491</v>
      </c>
      <c r="I2762" s="71" t="s">
        <v>415</v>
      </c>
    </row>
    <row r="2774" spans="3:5" x14ac:dyDescent="0.35">
      <c r="C2774" s="189"/>
      <c r="D2774" s="191"/>
      <c r="E2774" s="191"/>
    </row>
    <row r="2775" spans="3:5" x14ac:dyDescent="0.35">
      <c r="C2775" s="189"/>
      <c r="D2775" s="191"/>
      <c r="E2775" s="191"/>
    </row>
    <row r="2776" spans="3:5" x14ac:dyDescent="0.35">
      <c r="C2776" s="189"/>
      <c r="D2776" s="191"/>
      <c r="E2776" s="191"/>
    </row>
    <row r="2777" spans="3:5" x14ac:dyDescent="0.35">
      <c r="C2777" s="189"/>
      <c r="D2777" s="191"/>
      <c r="E2777" s="191"/>
    </row>
    <row r="2778" spans="3:5" x14ac:dyDescent="0.35">
      <c r="C2778" s="189"/>
      <c r="D2778" s="191"/>
      <c r="E2778" s="191"/>
    </row>
    <row r="2779" spans="3:5" x14ac:dyDescent="0.35">
      <c r="C2779" s="189"/>
      <c r="D2779" s="191"/>
      <c r="E2779" s="191"/>
    </row>
    <row r="2780" spans="3:5" x14ac:dyDescent="0.35">
      <c r="C2780" s="189"/>
      <c r="D2780" s="191"/>
      <c r="E2780" s="191"/>
    </row>
    <row r="2781" spans="3:5" x14ac:dyDescent="0.35">
      <c r="C2781" s="189"/>
      <c r="D2781" s="191"/>
      <c r="E2781" s="191"/>
    </row>
    <row r="2782" spans="3:5" x14ac:dyDescent="0.35">
      <c r="C2782" s="189"/>
      <c r="D2782" s="191"/>
    </row>
    <row r="2783" spans="3:5" x14ac:dyDescent="0.35">
      <c r="C2783" s="189"/>
      <c r="D2783" s="191"/>
    </row>
    <row r="2784" spans="3:5" x14ac:dyDescent="0.35">
      <c r="C2784" s="189"/>
    </row>
    <row r="2785" spans="3:3" x14ac:dyDescent="0.35">
      <c r="C2785" s="189"/>
    </row>
    <row r="2786" spans="3:3" x14ac:dyDescent="0.35">
      <c r="C2786" s="189"/>
    </row>
    <row r="2787" spans="3:3" x14ac:dyDescent="0.35">
      <c r="C2787" s="189"/>
    </row>
    <row r="2788" spans="3:3" x14ac:dyDescent="0.35">
      <c r="C2788" s="189"/>
    </row>
    <row r="2789" spans="3:3" x14ac:dyDescent="0.35">
      <c r="C2789" s="189"/>
    </row>
    <row r="2790" spans="3:3" x14ac:dyDescent="0.35">
      <c r="C2790" s="189"/>
    </row>
    <row r="2791" spans="3:3" x14ac:dyDescent="0.35">
      <c r="C2791" s="189"/>
    </row>
    <row r="2792" spans="3:3" x14ac:dyDescent="0.35">
      <c r="C2792" s="189"/>
    </row>
    <row r="2793" spans="3:3" x14ac:dyDescent="0.35">
      <c r="C2793" s="189"/>
    </row>
    <row r="2794" spans="3:3" x14ac:dyDescent="0.35">
      <c r="C2794" s="189"/>
    </row>
    <row r="2795" spans="3:3" x14ac:dyDescent="0.35">
      <c r="C2795" s="189"/>
    </row>
    <row r="2796" spans="3:3" x14ac:dyDescent="0.35">
      <c r="C2796" s="189"/>
    </row>
    <row r="2797" spans="3:3" x14ac:dyDescent="0.35">
      <c r="C2797" s="189"/>
    </row>
    <row r="2798" spans="3:3" x14ac:dyDescent="0.35">
      <c r="C2798" s="189"/>
    </row>
    <row r="2799" spans="3:3" x14ac:dyDescent="0.35">
      <c r="C2799" s="189"/>
    </row>
    <row r="2800" spans="3:3" x14ac:dyDescent="0.35">
      <c r="C2800" s="189"/>
    </row>
    <row r="2801" spans="3:3" x14ac:dyDescent="0.35">
      <c r="C2801" s="189"/>
    </row>
    <row r="2802" spans="3:3" x14ac:dyDescent="0.35">
      <c r="C2802" s="189"/>
    </row>
    <row r="2803" spans="3:3" x14ac:dyDescent="0.35">
      <c r="C2803" s="189"/>
    </row>
    <row r="2804" spans="3:3" x14ac:dyDescent="0.35">
      <c r="C2804" s="189"/>
    </row>
    <row r="2805" spans="3:3" x14ac:dyDescent="0.35">
      <c r="C2805" s="189"/>
    </row>
    <row r="2806" spans="3:3" x14ac:dyDescent="0.35">
      <c r="C2806" s="189"/>
    </row>
    <row r="2807" spans="3:3" x14ac:dyDescent="0.35">
      <c r="C2807" s="189"/>
    </row>
    <row r="2808" spans="3:3" x14ac:dyDescent="0.35">
      <c r="C2808" s="189"/>
    </row>
    <row r="2809" spans="3:3" x14ac:dyDescent="0.35">
      <c r="C2809" s="189"/>
    </row>
    <row r="2810" spans="3:3" x14ac:dyDescent="0.35">
      <c r="C2810" s="189"/>
    </row>
    <row r="2811" spans="3:3" x14ac:dyDescent="0.35">
      <c r="C2811" s="189"/>
    </row>
    <row r="2812" spans="3:3" x14ac:dyDescent="0.35">
      <c r="C2812" s="189"/>
    </row>
    <row r="2813" spans="3:3" x14ac:dyDescent="0.35">
      <c r="C2813" s="189"/>
    </row>
    <row r="2814" spans="3:3" x14ac:dyDescent="0.35">
      <c r="C2814" s="189"/>
    </row>
    <row r="2815" spans="3:3" x14ac:dyDescent="0.35">
      <c r="C2815" s="189"/>
    </row>
    <row r="2816" spans="3:3" x14ac:dyDescent="0.35">
      <c r="C2816" s="189"/>
    </row>
    <row r="2817" spans="3:3" x14ac:dyDescent="0.35">
      <c r="C2817" s="189"/>
    </row>
    <row r="2818" spans="3:3" x14ac:dyDescent="0.35">
      <c r="C2818" s="189"/>
    </row>
    <row r="2819" spans="3:3" x14ac:dyDescent="0.35">
      <c r="C2819" s="189"/>
    </row>
    <row r="2820" spans="3:3" x14ac:dyDescent="0.35">
      <c r="C2820" s="189"/>
    </row>
    <row r="2821" spans="3:3" x14ac:dyDescent="0.35">
      <c r="C2821" s="189"/>
    </row>
    <row r="2822" spans="3:3" x14ac:dyDescent="0.35">
      <c r="C2822" s="189"/>
    </row>
    <row r="2823" spans="3:3" x14ac:dyDescent="0.35">
      <c r="C2823" s="189"/>
    </row>
  </sheetData>
  <autoFilter ref="A1:J2762" xr:uid="{00000000-0009-0000-0000-000002000000}">
    <sortState xmlns:xlrd2="http://schemas.microsoft.com/office/spreadsheetml/2017/richdata2" ref="A2:J2762">
      <sortCondition ref="A2:A2762"/>
      <sortCondition ref="B2:B2762"/>
      <sortCondition ref="C2:C2762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X401"/>
  <sheetViews>
    <sheetView workbookViewId="0">
      <selection activeCell="F388" sqref="A1:F388"/>
    </sheetView>
  </sheetViews>
  <sheetFormatPr defaultColWidth="9.1796875" defaultRowHeight="14.5" x14ac:dyDescent="0.35"/>
  <cols>
    <col min="1" max="1" width="13.54296875" style="195" customWidth="1"/>
    <col min="2" max="2" width="9.1796875" style="195"/>
    <col min="3" max="3" width="77" style="195" bestFit="1" customWidth="1"/>
    <col min="4" max="4" width="94.7265625" style="195" customWidth="1"/>
    <col min="5" max="16384" width="9.1796875" style="195"/>
  </cols>
  <sheetData>
    <row r="1" spans="1:6" x14ac:dyDescent="0.35">
      <c r="A1" s="195" t="s">
        <v>3831</v>
      </c>
      <c r="B1" s="195">
        <v>1714000</v>
      </c>
      <c r="C1" s="195" t="s">
        <v>3575</v>
      </c>
      <c r="D1" s="195" t="s">
        <v>3576</v>
      </c>
      <c r="E1" s="195" t="s">
        <v>3577</v>
      </c>
      <c r="F1" s="195" t="s">
        <v>3578</v>
      </c>
    </row>
    <row r="2" spans="1:6" x14ac:dyDescent="0.35">
      <c r="A2" s="195" t="s">
        <v>3336</v>
      </c>
      <c r="B2" s="64">
        <v>2722586</v>
      </c>
      <c r="C2" s="195" t="s">
        <v>26</v>
      </c>
      <c r="D2" s="195" t="s">
        <v>3579</v>
      </c>
      <c r="E2" s="195" t="s">
        <v>3580</v>
      </c>
      <c r="F2" s="195" t="s">
        <v>3581</v>
      </c>
    </row>
    <row r="3" spans="1:6" x14ac:dyDescent="0.35">
      <c r="A3" s="195" t="s">
        <v>3844</v>
      </c>
      <c r="B3" s="64">
        <v>1228651</v>
      </c>
      <c r="C3" s="195" t="s">
        <v>26</v>
      </c>
      <c r="D3" s="195" t="s">
        <v>3857</v>
      </c>
      <c r="E3" s="195" t="s">
        <v>3580</v>
      </c>
      <c r="F3" s="195" t="s">
        <v>3858</v>
      </c>
    </row>
    <row r="4" spans="1:6" x14ac:dyDescent="0.35">
      <c r="A4" s="195" t="s">
        <v>3845</v>
      </c>
      <c r="B4" s="64">
        <v>12089</v>
      </c>
      <c r="C4" s="195" t="s">
        <v>3859</v>
      </c>
      <c r="D4" s="195" t="s">
        <v>3857</v>
      </c>
      <c r="E4" s="195" t="s">
        <v>3580</v>
      </c>
      <c r="F4" s="195" t="s">
        <v>3858</v>
      </c>
    </row>
    <row r="5" spans="1:6" x14ac:dyDescent="0.35">
      <c r="A5" s="195" t="s">
        <v>3846</v>
      </c>
      <c r="B5" s="64">
        <v>46628</v>
      </c>
      <c r="C5" s="195" t="s">
        <v>3860</v>
      </c>
      <c r="D5" s="195" t="s">
        <v>3857</v>
      </c>
      <c r="E5" s="195" t="s">
        <v>3580</v>
      </c>
      <c r="F5" s="195" t="s">
        <v>3858</v>
      </c>
    </row>
    <row r="6" spans="1:6" x14ac:dyDescent="0.35">
      <c r="A6" s="195" t="s">
        <v>3847</v>
      </c>
      <c r="B6" s="64">
        <v>86781</v>
      </c>
      <c r="C6" s="195" t="s">
        <v>3861</v>
      </c>
      <c r="D6" s="195" t="s">
        <v>3857</v>
      </c>
      <c r="E6" s="195" t="s">
        <v>3580</v>
      </c>
      <c r="F6" s="195" t="s">
        <v>3858</v>
      </c>
    </row>
    <row r="7" spans="1:6" x14ac:dyDescent="0.35">
      <c r="A7" s="195" t="s">
        <v>3848</v>
      </c>
      <c r="B7" s="64">
        <v>114915</v>
      </c>
      <c r="C7" s="195" t="s">
        <v>3862</v>
      </c>
      <c r="D7" s="195" t="s">
        <v>3857</v>
      </c>
      <c r="E7" s="195" t="s">
        <v>3580</v>
      </c>
      <c r="F7" s="195" t="s">
        <v>3858</v>
      </c>
    </row>
    <row r="8" spans="1:6" x14ac:dyDescent="0.35">
      <c r="A8" s="195" t="s">
        <v>3849</v>
      </c>
      <c r="B8" s="64">
        <v>150367</v>
      </c>
      <c r="C8" s="195" t="s">
        <v>3863</v>
      </c>
      <c r="D8" s="195" t="s">
        <v>3857</v>
      </c>
      <c r="E8" s="195" t="s">
        <v>3580</v>
      </c>
      <c r="F8" s="195" t="s">
        <v>3858</v>
      </c>
    </row>
    <row r="9" spans="1:6" x14ac:dyDescent="0.35">
      <c r="A9" s="195" t="s">
        <v>3850</v>
      </c>
      <c r="B9" s="64">
        <v>69433</v>
      </c>
      <c r="C9" s="195" t="s">
        <v>3864</v>
      </c>
      <c r="D9" s="195" t="s">
        <v>3857</v>
      </c>
      <c r="E9" s="195" t="s">
        <v>3580</v>
      </c>
      <c r="F9" s="195" t="s">
        <v>3858</v>
      </c>
    </row>
    <row r="10" spans="1:6" x14ac:dyDescent="0.35">
      <c r="A10" s="195" t="s">
        <v>3851</v>
      </c>
      <c r="B10" s="64">
        <v>236331</v>
      </c>
      <c r="C10" s="195" t="s">
        <v>3865</v>
      </c>
      <c r="D10" s="195" t="s">
        <v>3857</v>
      </c>
      <c r="E10" s="195" t="s">
        <v>3580</v>
      </c>
      <c r="F10" s="195" t="s">
        <v>3858</v>
      </c>
    </row>
    <row r="11" spans="1:6" x14ac:dyDescent="0.35">
      <c r="A11" s="195" t="s">
        <v>3852</v>
      </c>
      <c r="B11" s="64">
        <v>47359</v>
      </c>
      <c r="C11" s="195" t="s">
        <v>3866</v>
      </c>
      <c r="D11" s="195" t="s">
        <v>3857</v>
      </c>
      <c r="E11" s="195" t="s">
        <v>3580</v>
      </c>
      <c r="F11" s="195" t="s">
        <v>3858</v>
      </c>
    </row>
    <row r="12" spans="1:6" x14ac:dyDescent="0.35">
      <c r="A12" s="195" t="s">
        <v>3853</v>
      </c>
      <c r="B12" s="64">
        <v>85538</v>
      </c>
      <c r="C12" s="195" t="s">
        <v>3867</v>
      </c>
      <c r="D12" s="195" t="s">
        <v>3857</v>
      </c>
      <c r="E12" s="195" t="s">
        <v>3580</v>
      </c>
      <c r="F12" s="195" t="s">
        <v>3858</v>
      </c>
    </row>
    <row r="13" spans="1:6" x14ac:dyDescent="0.35">
      <c r="A13" s="195" t="s">
        <v>3854</v>
      </c>
      <c r="B13" s="64">
        <v>180045</v>
      </c>
      <c r="C13" s="195" t="s">
        <v>3868</v>
      </c>
      <c r="D13" s="195" t="s">
        <v>3857</v>
      </c>
      <c r="E13" s="195" t="s">
        <v>3580</v>
      </c>
      <c r="F13" s="195" t="s">
        <v>3858</v>
      </c>
    </row>
    <row r="14" spans="1:6" x14ac:dyDescent="0.35">
      <c r="A14" s="195" t="s">
        <v>3855</v>
      </c>
      <c r="B14" s="64">
        <v>155215</v>
      </c>
      <c r="C14" s="195" t="s">
        <v>3869</v>
      </c>
      <c r="D14" s="195" t="s">
        <v>3857</v>
      </c>
      <c r="E14" s="195" t="s">
        <v>3580</v>
      </c>
      <c r="F14" s="195" t="s">
        <v>3858</v>
      </c>
    </row>
    <row r="15" spans="1:6" x14ac:dyDescent="0.35">
      <c r="A15" s="195" t="s">
        <v>3856</v>
      </c>
      <c r="B15" s="64">
        <v>43950</v>
      </c>
      <c r="C15" s="195" t="s">
        <v>3870</v>
      </c>
      <c r="D15" s="195" t="s">
        <v>3857</v>
      </c>
      <c r="E15" s="195" t="s">
        <v>3580</v>
      </c>
      <c r="F15" s="195" t="s">
        <v>3858</v>
      </c>
    </row>
    <row r="16" spans="1:6" x14ac:dyDescent="0.35">
      <c r="A16" s="195" t="s">
        <v>3900</v>
      </c>
      <c r="B16" s="64">
        <v>2136070</v>
      </c>
      <c r="C16" s="195" t="s">
        <v>26</v>
      </c>
      <c r="D16" s="195" t="s">
        <v>4013</v>
      </c>
      <c r="E16" s="195" t="s">
        <v>3580</v>
      </c>
      <c r="F16" s="195" t="s">
        <v>4014</v>
      </c>
    </row>
    <row r="17" spans="1:6" x14ac:dyDescent="0.35">
      <c r="A17" s="195" t="s">
        <v>3901</v>
      </c>
      <c r="B17" s="64">
        <v>1025477</v>
      </c>
      <c r="C17" s="195" t="s">
        <v>3587</v>
      </c>
      <c r="D17" s="195" t="s">
        <v>4013</v>
      </c>
      <c r="E17" s="195" t="s">
        <v>3580</v>
      </c>
      <c r="F17" s="195" t="s">
        <v>4014</v>
      </c>
    </row>
    <row r="18" spans="1:6" x14ac:dyDescent="0.35">
      <c r="A18" s="195" t="s">
        <v>3902</v>
      </c>
      <c r="B18" s="64">
        <v>137302</v>
      </c>
      <c r="C18" s="195" t="s">
        <v>4015</v>
      </c>
      <c r="D18" s="195" t="s">
        <v>4013</v>
      </c>
      <c r="E18" s="195" t="s">
        <v>3580</v>
      </c>
      <c r="F18" s="195" t="s">
        <v>4014</v>
      </c>
    </row>
    <row r="19" spans="1:6" x14ac:dyDescent="0.35">
      <c r="A19" s="195" t="s">
        <v>3903</v>
      </c>
      <c r="B19" s="64">
        <v>2607</v>
      </c>
      <c r="C19" s="195" t="s">
        <v>4016</v>
      </c>
      <c r="D19" s="195" t="s">
        <v>4013</v>
      </c>
      <c r="E19" s="195" t="s">
        <v>3580</v>
      </c>
      <c r="F19" s="195" t="s">
        <v>4014</v>
      </c>
    </row>
    <row r="20" spans="1:6" x14ac:dyDescent="0.35">
      <c r="A20" s="195" t="s">
        <v>3904</v>
      </c>
      <c r="B20" s="64">
        <v>20823</v>
      </c>
      <c r="C20" s="195" t="s">
        <v>4017</v>
      </c>
      <c r="D20" s="195" t="s">
        <v>4013</v>
      </c>
      <c r="E20" s="195" t="s">
        <v>3580</v>
      </c>
      <c r="F20" s="195" t="s">
        <v>4014</v>
      </c>
    </row>
    <row r="21" spans="1:6" x14ac:dyDescent="0.35">
      <c r="A21" s="195" t="s">
        <v>3905</v>
      </c>
      <c r="B21" s="64">
        <v>37676</v>
      </c>
      <c r="C21" s="195" t="s">
        <v>4018</v>
      </c>
      <c r="D21" s="195" t="s">
        <v>4013</v>
      </c>
      <c r="E21" s="195" t="s">
        <v>3580</v>
      </c>
      <c r="F21" s="195" t="s">
        <v>4014</v>
      </c>
    </row>
    <row r="22" spans="1:6" x14ac:dyDescent="0.35">
      <c r="A22" s="195" t="s">
        <v>3906</v>
      </c>
      <c r="B22" s="64">
        <v>49473</v>
      </c>
      <c r="C22" s="195" t="s">
        <v>4019</v>
      </c>
      <c r="D22" s="195" t="s">
        <v>4013</v>
      </c>
      <c r="E22" s="195" t="s">
        <v>3580</v>
      </c>
      <c r="F22" s="195" t="s">
        <v>4014</v>
      </c>
    </row>
    <row r="23" spans="1:6" x14ac:dyDescent="0.35">
      <c r="A23" s="195" t="s">
        <v>3907</v>
      </c>
      <c r="B23" s="64">
        <v>4832</v>
      </c>
      <c r="C23" s="195" t="s">
        <v>4020</v>
      </c>
      <c r="D23" s="195" t="s">
        <v>4013</v>
      </c>
      <c r="E23" s="195" t="s">
        <v>3580</v>
      </c>
      <c r="F23" s="195" t="s">
        <v>4014</v>
      </c>
    </row>
    <row r="24" spans="1:6" x14ac:dyDescent="0.35">
      <c r="A24" s="195" t="s">
        <v>3908</v>
      </c>
      <c r="B24" s="64">
        <v>19660</v>
      </c>
      <c r="C24" s="195" t="s">
        <v>4021</v>
      </c>
      <c r="D24" s="195" t="s">
        <v>4013</v>
      </c>
      <c r="E24" s="195" t="s">
        <v>3580</v>
      </c>
      <c r="F24" s="195" t="s">
        <v>4014</v>
      </c>
    </row>
    <row r="25" spans="1:6" x14ac:dyDescent="0.35">
      <c r="A25" s="195" t="s">
        <v>3909</v>
      </c>
      <c r="B25" s="64">
        <v>2231</v>
      </c>
      <c r="C25" s="195" t="s">
        <v>4022</v>
      </c>
      <c r="D25" s="195" t="s">
        <v>4013</v>
      </c>
      <c r="E25" s="195" t="s">
        <v>3580</v>
      </c>
      <c r="F25" s="195" t="s">
        <v>4014</v>
      </c>
    </row>
    <row r="26" spans="1:6" x14ac:dyDescent="0.35">
      <c r="A26" s="195" t="s">
        <v>3910</v>
      </c>
      <c r="B26" s="64">
        <v>263159</v>
      </c>
      <c r="C26" s="195" t="s">
        <v>4023</v>
      </c>
      <c r="D26" s="195" t="s">
        <v>4013</v>
      </c>
      <c r="E26" s="195" t="s">
        <v>3580</v>
      </c>
      <c r="F26" s="195" t="s">
        <v>4014</v>
      </c>
    </row>
    <row r="27" spans="1:6" x14ac:dyDescent="0.35">
      <c r="A27" s="195" t="s">
        <v>3911</v>
      </c>
      <c r="B27" s="64">
        <v>9141</v>
      </c>
      <c r="C27" s="195" t="s">
        <v>4024</v>
      </c>
      <c r="D27" s="195" t="s">
        <v>4013</v>
      </c>
      <c r="E27" s="195" t="s">
        <v>3580</v>
      </c>
      <c r="F27" s="195" t="s">
        <v>4014</v>
      </c>
    </row>
    <row r="28" spans="1:6" x14ac:dyDescent="0.35">
      <c r="A28" s="195" t="s">
        <v>3912</v>
      </c>
      <c r="B28" s="64">
        <v>17263</v>
      </c>
      <c r="C28" s="195" t="s">
        <v>4025</v>
      </c>
      <c r="D28" s="195" t="s">
        <v>4013</v>
      </c>
      <c r="E28" s="195" t="s">
        <v>3580</v>
      </c>
      <c r="F28" s="195" t="s">
        <v>4014</v>
      </c>
    </row>
    <row r="29" spans="1:6" x14ac:dyDescent="0.35">
      <c r="A29" s="195" t="s">
        <v>3913</v>
      </c>
      <c r="B29" s="64">
        <v>49051</v>
      </c>
      <c r="C29" s="195" t="s">
        <v>4026</v>
      </c>
      <c r="D29" s="195" t="s">
        <v>4013</v>
      </c>
      <c r="E29" s="195" t="s">
        <v>3580</v>
      </c>
      <c r="F29" s="195" t="s">
        <v>4014</v>
      </c>
    </row>
    <row r="30" spans="1:6" x14ac:dyDescent="0.35">
      <c r="A30" s="195" t="s">
        <v>3914</v>
      </c>
      <c r="B30" s="64">
        <v>43956</v>
      </c>
      <c r="C30" s="195" t="s">
        <v>4027</v>
      </c>
      <c r="D30" s="195" t="s">
        <v>4013</v>
      </c>
      <c r="E30" s="195" t="s">
        <v>3580</v>
      </c>
      <c r="F30" s="195" t="s">
        <v>4014</v>
      </c>
    </row>
    <row r="31" spans="1:6" x14ac:dyDescent="0.35">
      <c r="A31" s="195" t="s">
        <v>3915</v>
      </c>
      <c r="B31" s="64">
        <v>12461</v>
      </c>
      <c r="C31" s="195" t="s">
        <v>4028</v>
      </c>
      <c r="D31" s="195" t="s">
        <v>4013</v>
      </c>
      <c r="E31" s="195" t="s">
        <v>3580</v>
      </c>
      <c r="F31" s="195" t="s">
        <v>4014</v>
      </c>
    </row>
    <row r="32" spans="1:6" x14ac:dyDescent="0.35">
      <c r="A32" s="195" t="s">
        <v>3916</v>
      </c>
      <c r="B32" s="64">
        <v>90888</v>
      </c>
      <c r="C32" s="195" t="s">
        <v>4029</v>
      </c>
      <c r="D32" s="195" t="s">
        <v>4013</v>
      </c>
      <c r="E32" s="195" t="s">
        <v>3580</v>
      </c>
      <c r="F32" s="195" t="s">
        <v>4014</v>
      </c>
    </row>
    <row r="33" spans="1:6" x14ac:dyDescent="0.35">
      <c r="A33" s="195" t="s">
        <v>3917</v>
      </c>
      <c r="B33" s="64">
        <v>40399</v>
      </c>
      <c r="C33" s="195" t="s">
        <v>4030</v>
      </c>
      <c r="D33" s="195" t="s">
        <v>4013</v>
      </c>
      <c r="E33" s="195" t="s">
        <v>3580</v>
      </c>
      <c r="F33" s="195" t="s">
        <v>4014</v>
      </c>
    </row>
    <row r="34" spans="1:6" x14ac:dyDescent="0.35">
      <c r="A34" s="195" t="s">
        <v>3918</v>
      </c>
      <c r="B34" s="64">
        <v>191119</v>
      </c>
      <c r="C34" s="195" t="s">
        <v>3623</v>
      </c>
      <c r="D34" s="195" t="s">
        <v>4013</v>
      </c>
      <c r="E34" s="195" t="s">
        <v>3580</v>
      </c>
      <c r="F34" s="195" t="s">
        <v>4014</v>
      </c>
    </row>
    <row r="35" spans="1:6" x14ac:dyDescent="0.35">
      <c r="A35" s="195" t="s">
        <v>3919</v>
      </c>
      <c r="B35" s="64">
        <v>14027</v>
      </c>
      <c r="C35" s="195" t="s">
        <v>4031</v>
      </c>
      <c r="D35" s="195" t="s">
        <v>4013</v>
      </c>
      <c r="E35" s="195" t="s">
        <v>3580</v>
      </c>
      <c r="F35" s="195" t="s">
        <v>4014</v>
      </c>
    </row>
    <row r="36" spans="1:6" x14ac:dyDescent="0.35">
      <c r="A36" s="195" t="s">
        <v>3920</v>
      </c>
      <c r="B36" s="64">
        <v>13673</v>
      </c>
      <c r="C36" s="195" t="s">
        <v>4032</v>
      </c>
      <c r="D36" s="195" t="s">
        <v>4013</v>
      </c>
      <c r="E36" s="195" t="s">
        <v>3580</v>
      </c>
      <c r="F36" s="195" t="s">
        <v>4014</v>
      </c>
    </row>
    <row r="37" spans="1:6" x14ac:dyDescent="0.35">
      <c r="A37" s="195" t="s">
        <v>3921</v>
      </c>
      <c r="B37" s="64">
        <v>45098</v>
      </c>
      <c r="C37" s="195" t="s">
        <v>4033</v>
      </c>
      <c r="D37" s="195" t="s">
        <v>4013</v>
      </c>
      <c r="E37" s="195" t="s">
        <v>3580</v>
      </c>
      <c r="F37" s="195" t="s">
        <v>4014</v>
      </c>
    </row>
    <row r="38" spans="1:6" x14ac:dyDescent="0.35">
      <c r="A38" s="195" t="s">
        <v>3922</v>
      </c>
      <c r="B38" s="64">
        <v>32704</v>
      </c>
      <c r="C38" s="195" t="s">
        <v>4034</v>
      </c>
      <c r="D38" s="195" t="s">
        <v>4013</v>
      </c>
      <c r="E38" s="195" t="s">
        <v>3580</v>
      </c>
      <c r="F38" s="195" t="s">
        <v>4014</v>
      </c>
    </row>
    <row r="39" spans="1:6" x14ac:dyDescent="0.35">
      <c r="A39" s="195" t="s">
        <v>3923</v>
      </c>
      <c r="B39" s="64">
        <v>10929</v>
      </c>
      <c r="C39" s="195" t="s">
        <v>4035</v>
      </c>
      <c r="D39" s="195" t="s">
        <v>4013</v>
      </c>
      <c r="E39" s="195" t="s">
        <v>3580</v>
      </c>
      <c r="F39" s="195" t="s">
        <v>4014</v>
      </c>
    </row>
    <row r="40" spans="1:6" x14ac:dyDescent="0.35">
      <c r="A40" s="195" t="s">
        <v>3924</v>
      </c>
      <c r="B40" s="64">
        <v>43663</v>
      </c>
      <c r="C40" s="195" t="s">
        <v>4036</v>
      </c>
      <c r="D40" s="195" t="s">
        <v>4013</v>
      </c>
      <c r="E40" s="195" t="s">
        <v>3580</v>
      </c>
      <c r="F40" s="195" t="s">
        <v>4014</v>
      </c>
    </row>
    <row r="41" spans="1:6" x14ac:dyDescent="0.35">
      <c r="A41" s="195" t="s">
        <v>3925</v>
      </c>
      <c r="B41" s="64">
        <v>31025</v>
      </c>
      <c r="C41" s="195" t="s">
        <v>4037</v>
      </c>
      <c r="D41" s="195" t="s">
        <v>4013</v>
      </c>
      <c r="E41" s="195" t="s">
        <v>3580</v>
      </c>
      <c r="F41" s="195" t="s">
        <v>4014</v>
      </c>
    </row>
    <row r="42" spans="1:6" x14ac:dyDescent="0.35">
      <c r="A42" s="195" t="s">
        <v>3926</v>
      </c>
      <c r="B42" s="64">
        <v>302542</v>
      </c>
      <c r="C42" s="195" t="s">
        <v>4038</v>
      </c>
      <c r="D42" s="195" t="s">
        <v>4013</v>
      </c>
      <c r="E42" s="195" t="s">
        <v>3580</v>
      </c>
      <c r="F42" s="195" t="s">
        <v>4014</v>
      </c>
    </row>
    <row r="43" spans="1:6" x14ac:dyDescent="0.35">
      <c r="A43" s="195" t="s">
        <v>3927</v>
      </c>
      <c r="B43" s="64">
        <v>29917</v>
      </c>
      <c r="C43" s="195" t="s">
        <v>4039</v>
      </c>
      <c r="D43" s="195" t="s">
        <v>4013</v>
      </c>
      <c r="E43" s="195" t="s">
        <v>3580</v>
      </c>
      <c r="F43" s="195" t="s">
        <v>4014</v>
      </c>
    </row>
    <row r="44" spans="1:6" x14ac:dyDescent="0.35">
      <c r="A44" s="195" t="s">
        <v>3928</v>
      </c>
      <c r="B44" s="64">
        <v>28903</v>
      </c>
      <c r="C44" s="195" t="s">
        <v>4040</v>
      </c>
      <c r="D44" s="195" t="s">
        <v>4013</v>
      </c>
      <c r="E44" s="195" t="s">
        <v>3580</v>
      </c>
      <c r="F44" s="195" t="s">
        <v>4014</v>
      </c>
    </row>
    <row r="45" spans="1:6" x14ac:dyDescent="0.35">
      <c r="A45" s="195" t="s">
        <v>3929</v>
      </c>
      <c r="B45" s="64">
        <v>84344</v>
      </c>
      <c r="C45" s="195" t="s">
        <v>4041</v>
      </c>
      <c r="D45" s="195" t="s">
        <v>4013</v>
      </c>
      <c r="E45" s="195" t="s">
        <v>3580</v>
      </c>
      <c r="F45" s="195" t="s">
        <v>4014</v>
      </c>
    </row>
    <row r="46" spans="1:6" x14ac:dyDescent="0.35">
      <c r="A46" s="195" t="s">
        <v>3930</v>
      </c>
      <c r="B46" s="64">
        <v>57143</v>
      </c>
      <c r="C46" s="195" t="s">
        <v>4042</v>
      </c>
      <c r="D46" s="195" t="s">
        <v>4013</v>
      </c>
      <c r="E46" s="195" t="s">
        <v>3580</v>
      </c>
      <c r="F46" s="195" t="s">
        <v>4014</v>
      </c>
    </row>
    <row r="47" spans="1:6" x14ac:dyDescent="0.35">
      <c r="A47" s="195" t="s">
        <v>3931</v>
      </c>
      <c r="B47" s="64">
        <v>16467</v>
      </c>
      <c r="C47" s="195" t="s">
        <v>4043</v>
      </c>
      <c r="D47" s="195" t="s">
        <v>4013</v>
      </c>
      <c r="E47" s="195" t="s">
        <v>3580</v>
      </c>
      <c r="F47" s="195" t="s">
        <v>4014</v>
      </c>
    </row>
    <row r="48" spans="1:6" x14ac:dyDescent="0.35">
      <c r="A48" s="195" t="s">
        <v>3932</v>
      </c>
      <c r="B48" s="64">
        <v>48471</v>
      </c>
      <c r="C48" s="195" t="s">
        <v>4044</v>
      </c>
      <c r="D48" s="195" t="s">
        <v>4013</v>
      </c>
      <c r="E48" s="195" t="s">
        <v>3580</v>
      </c>
      <c r="F48" s="195" t="s">
        <v>4014</v>
      </c>
    </row>
    <row r="49" spans="1:6" x14ac:dyDescent="0.35">
      <c r="A49" s="195" t="s">
        <v>3933</v>
      </c>
      <c r="B49" s="64">
        <v>37297</v>
      </c>
      <c r="C49" s="195" t="s">
        <v>4045</v>
      </c>
      <c r="D49" s="195" t="s">
        <v>4013</v>
      </c>
      <c r="E49" s="195" t="s">
        <v>3580</v>
      </c>
      <c r="F49" s="195" t="s">
        <v>4014</v>
      </c>
    </row>
    <row r="50" spans="1:6" x14ac:dyDescent="0.35">
      <c r="A50" s="195" t="s">
        <v>3934</v>
      </c>
      <c r="B50" s="64">
        <v>131355</v>
      </c>
      <c r="C50" s="195" t="s">
        <v>4046</v>
      </c>
      <c r="D50" s="195" t="s">
        <v>4013</v>
      </c>
      <c r="E50" s="195" t="s">
        <v>3580</v>
      </c>
      <c r="F50" s="195" t="s">
        <v>4014</v>
      </c>
    </row>
    <row r="51" spans="1:6" x14ac:dyDescent="0.35">
      <c r="A51" s="195" t="s">
        <v>3935</v>
      </c>
      <c r="B51" s="64">
        <v>20775</v>
      </c>
      <c r="C51" s="195" t="s">
        <v>4047</v>
      </c>
      <c r="D51" s="195" t="s">
        <v>4013</v>
      </c>
      <c r="E51" s="195" t="s">
        <v>3580</v>
      </c>
      <c r="F51" s="195" t="s">
        <v>4014</v>
      </c>
    </row>
    <row r="52" spans="1:6" x14ac:dyDescent="0.35">
      <c r="A52" s="195" t="s">
        <v>3936</v>
      </c>
      <c r="B52" s="64">
        <v>14788</v>
      </c>
      <c r="C52" s="195" t="s">
        <v>4048</v>
      </c>
      <c r="D52" s="195" t="s">
        <v>4013</v>
      </c>
      <c r="E52" s="195" t="s">
        <v>3580</v>
      </c>
      <c r="F52" s="195" t="s">
        <v>4014</v>
      </c>
    </row>
    <row r="53" spans="1:6" x14ac:dyDescent="0.35">
      <c r="A53" s="195" t="s">
        <v>3937</v>
      </c>
      <c r="B53" s="64">
        <v>35002</v>
      </c>
      <c r="C53" s="195" t="s">
        <v>4049</v>
      </c>
      <c r="D53" s="195" t="s">
        <v>4013</v>
      </c>
      <c r="E53" s="195" t="s">
        <v>3580</v>
      </c>
      <c r="F53" s="195" t="s">
        <v>4014</v>
      </c>
    </row>
    <row r="54" spans="1:6" x14ac:dyDescent="0.35">
      <c r="A54" s="195" t="s">
        <v>3938</v>
      </c>
      <c r="B54" s="64">
        <v>21591</v>
      </c>
      <c r="C54" s="195" t="s">
        <v>4050</v>
      </c>
      <c r="D54" s="195" t="s">
        <v>4013</v>
      </c>
      <c r="E54" s="195" t="s">
        <v>3580</v>
      </c>
      <c r="F54" s="195" t="s">
        <v>4014</v>
      </c>
    </row>
    <row r="55" spans="1:6" x14ac:dyDescent="0.35">
      <c r="A55" s="195" t="s">
        <v>3939</v>
      </c>
      <c r="B55" s="64">
        <v>4946</v>
      </c>
      <c r="C55" s="195" t="s">
        <v>4051</v>
      </c>
      <c r="D55" s="195" t="s">
        <v>4013</v>
      </c>
      <c r="E55" s="195" t="s">
        <v>3580</v>
      </c>
      <c r="F55" s="195" t="s">
        <v>4014</v>
      </c>
    </row>
    <row r="56" spans="1:6" x14ac:dyDescent="0.35">
      <c r="A56" s="195" t="s">
        <v>3940</v>
      </c>
      <c r="B56" s="64">
        <v>16581</v>
      </c>
      <c r="C56" s="195" t="s">
        <v>4052</v>
      </c>
      <c r="D56" s="195" t="s">
        <v>4013</v>
      </c>
      <c r="E56" s="195" t="s">
        <v>3580</v>
      </c>
      <c r="F56" s="195" t="s">
        <v>4014</v>
      </c>
    </row>
    <row r="57" spans="1:6" x14ac:dyDescent="0.35">
      <c r="A57" s="195" t="s">
        <v>3941</v>
      </c>
      <c r="B57" s="64">
        <v>17672</v>
      </c>
      <c r="C57" s="195" t="s">
        <v>4053</v>
      </c>
      <c r="D57" s="195" t="s">
        <v>4013</v>
      </c>
      <c r="E57" s="195" t="s">
        <v>3580</v>
      </c>
      <c r="F57" s="195" t="s">
        <v>4014</v>
      </c>
    </row>
    <row r="58" spans="1:6" x14ac:dyDescent="0.35">
      <c r="A58" s="195" t="s">
        <v>3942</v>
      </c>
      <c r="B58" s="64">
        <v>1110593</v>
      </c>
      <c r="C58" s="195" t="s">
        <v>3658</v>
      </c>
      <c r="D58" s="195" t="s">
        <v>4013</v>
      </c>
      <c r="E58" s="195" t="s">
        <v>3580</v>
      </c>
      <c r="F58" s="195" t="s">
        <v>4014</v>
      </c>
    </row>
    <row r="59" spans="1:6" x14ac:dyDescent="0.35">
      <c r="A59" s="195" t="s">
        <v>3943</v>
      </c>
      <c r="B59" s="64">
        <v>144847</v>
      </c>
      <c r="C59" s="195" t="s">
        <v>4054</v>
      </c>
      <c r="D59" s="195" t="s">
        <v>4013</v>
      </c>
      <c r="E59" s="195" t="s">
        <v>3580</v>
      </c>
      <c r="F59" s="195" t="s">
        <v>4014</v>
      </c>
    </row>
    <row r="60" spans="1:6" x14ac:dyDescent="0.35">
      <c r="A60" s="195" t="s">
        <v>3944</v>
      </c>
      <c r="B60" s="64">
        <v>1985</v>
      </c>
      <c r="C60" s="195" t="s">
        <v>4055</v>
      </c>
      <c r="D60" s="195" t="s">
        <v>4013</v>
      </c>
      <c r="E60" s="195" t="s">
        <v>3580</v>
      </c>
      <c r="F60" s="195" t="s">
        <v>4014</v>
      </c>
    </row>
    <row r="61" spans="1:6" x14ac:dyDescent="0.35">
      <c r="A61" s="195" t="s">
        <v>3945</v>
      </c>
      <c r="B61" s="64">
        <v>14943</v>
      </c>
      <c r="C61" s="195" t="s">
        <v>4056</v>
      </c>
      <c r="D61" s="195" t="s">
        <v>4013</v>
      </c>
      <c r="E61" s="195" t="s">
        <v>3580</v>
      </c>
      <c r="F61" s="195" t="s">
        <v>4014</v>
      </c>
    </row>
    <row r="62" spans="1:6" x14ac:dyDescent="0.35">
      <c r="A62" s="195" t="s">
        <v>3946</v>
      </c>
      <c r="B62" s="64">
        <v>33887</v>
      </c>
      <c r="C62" s="195" t="s">
        <v>4057</v>
      </c>
      <c r="D62" s="195" t="s">
        <v>4013</v>
      </c>
      <c r="E62" s="195" t="s">
        <v>3580</v>
      </c>
      <c r="F62" s="195" t="s">
        <v>4014</v>
      </c>
    </row>
    <row r="63" spans="1:6" x14ac:dyDescent="0.35">
      <c r="A63" s="195" t="s">
        <v>3947</v>
      </c>
      <c r="B63" s="64">
        <v>59418</v>
      </c>
      <c r="C63" s="195" t="s">
        <v>4058</v>
      </c>
      <c r="D63" s="195" t="s">
        <v>4013</v>
      </c>
      <c r="E63" s="195" t="s">
        <v>3580</v>
      </c>
      <c r="F63" s="195" t="s">
        <v>4014</v>
      </c>
    </row>
    <row r="64" spans="1:6" x14ac:dyDescent="0.35">
      <c r="A64" s="195" t="s">
        <v>3948</v>
      </c>
      <c r="B64" s="64">
        <v>6400</v>
      </c>
      <c r="C64" s="195" t="s">
        <v>4059</v>
      </c>
      <c r="D64" s="195" t="s">
        <v>4013</v>
      </c>
      <c r="E64" s="195" t="s">
        <v>3580</v>
      </c>
      <c r="F64" s="195" t="s">
        <v>4014</v>
      </c>
    </row>
    <row r="65" spans="1:6" x14ac:dyDescent="0.35">
      <c r="A65" s="195" t="s">
        <v>3949</v>
      </c>
      <c r="B65" s="64">
        <v>25736</v>
      </c>
      <c r="C65" s="195" t="s">
        <v>4060</v>
      </c>
      <c r="D65" s="195" t="s">
        <v>4013</v>
      </c>
      <c r="E65" s="195" t="s">
        <v>3580</v>
      </c>
      <c r="F65" s="195" t="s">
        <v>4014</v>
      </c>
    </row>
    <row r="66" spans="1:6" x14ac:dyDescent="0.35">
      <c r="A66" s="195" t="s">
        <v>3950</v>
      </c>
      <c r="B66" s="64">
        <v>2478</v>
      </c>
      <c r="C66" s="195" t="s">
        <v>4061</v>
      </c>
      <c r="D66" s="195" t="s">
        <v>4013</v>
      </c>
      <c r="E66" s="195" t="s">
        <v>3580</v>
      </c>
      <c r="F66" s="195" t="s">
        <v>4014</v>
      </c>
    </row>
    <row r="67" spans="1:6" x14ac:dyDescent="0.35">
      <c r="A67" s="195" t="s">
        <v>3951</v>
      </c>
      <c r="B67" s="64">
        <v>270915</v>
      </c>
      <c r="C67" s="195" t="s">
        <v>4062</v>
      </c>
      <c r="D67" s="195" t="s">
        <v>4013</v>
      </c>
      <c r="E67" s="195" t="s">
        <v>3580</v>
      </c>
      <c r="F67" s="195" t="s">
        <v>4014</v>
      </c>
    </row>
    <row r="68" spans="1:6" x14ac:dyDescent="0.35">
      <c r="A68" s="195" t="s">
        <v>3952</v>
      </c>
      <c r="B68" s="64">
        <v>6875</v>
      </c>
      <c r="C68" s="195" t="s">
        <v>4063</v>
      </c>
      <c r="D68" s="195" t="s">
        <v>4013</v>
      </c>
      <c r="E68" s="195" t="s">
        <v>3580</v>
      </c>
      <c r="F68" s="195" t="s">
        <v>4014</v>
      </c>
    </row>
    <row r="69" spans="1:6" x14ac:dyDescent="0.35">
      <c r="A69" s="195" t="s">
        <v>3953</v>
      </c>
      <c r="B69" s="64">
        <v>12762</v>
      </c>
      <c r="C69" s="195" t="s">
        <v>4064</v>
      </c>
      <c r="D69" s="195" t="s">
        <v>4013</v>
      </c>
      <c r="E69" s="195" t="s">
        <v>3580</v>
      </c>
      <c r="F69" s="195" t="s">
        <v>4014</v>
      </c>
    </row>
    <row r="70" spans="1:6" x14ac:dyDescent="0.35">
      <c r="A70" s="195" t="s">
        <v>3954</v>
      </c>
      <c r="B70" s="64">
        <v>40977</v>
      </c>
      <c r="C70" s="195" t="s">
        <v>4065</v>
      </c>
      <c r="D70" s="195" t="s">
        <v>4013</v>
      </c>
      <c r="E70" s="195" t="s">
        <v>3580</v>
      </c>
      <c r="F70" s="195" t="s">
        <v>4014</v>
      </c>
    </row>
    <row r="71" spans="1:6" x14ac:dyDescent="0.35">
      <c r="A71" s="195" t="s">
        <v>3955</v>
      </c>
      <c r="B71" s="64">
        <v>45567</v>
      </c>
      <c r="C71" s="195" t="s">
        <v>4066</v>
      </c>
      <c r="D71" s="195" t="s">
        <v>4013</v>
      </c>
      <c r="E71" s="195" t="s">
        <v>3580</v>
      </c>
      <c r="F71" s="195" t="s">
        <v>4014</v>
      </c>
    </row>
    <row r="72" spans="1:6" x14ac:dyDescent="0.35">
      <c r="A72" s="195" t="s">
        <v>3956</v>
      </c>
      <c r="B72" s="64">
        <v>15179</v>
      </c>
      <c r="C72" s="195" t="s">
        <v>4067</v>
      </c>
      <c r="D72" s="195" t="s">
        <v>4013</v>
      </c>
      <c r="E72" s="195" t="s">
        <v>3580</v>
      </c>
      <c r="F72" s="195" t="s">
        <v>4014</v>
      </c>
    </row>
    <row r="73" spans="1:6" x14ac:dyDescent="0.35">
      <c r="A73" s="195" t="s">
        <v>3957</v>
      </c>
      <c r="B73" s="64">
        <v>95117</v>
      </c>
      <c r="C73" s="195" t="s">
        <v>4068</v>
      </c>
      <c r="D73" s="195" t="s">
        <v>4013</v>
      </c>
      <c r="E73" s="195" t="s">
        <v>3580</v>
      </c>
      <c r="F73" s="195" t="s">
        <v>4014</v>
      </c>
    </row>
    <row r="74" spans="1:6" x14ac:dyDescent="0.35">
      <c r="A74" s="195" t="s">
        <v>3958</v>
      </c>
      <c r="B74" s="64">
        <v>54438</v>
      </c>
      <c r="C74" s="195" t="s">
        <v>4069</v>
      </c>
      <c r="D74" s="195" t="s">
        <v>4013</v>
      </c>
      <c r="E74" s="195" t="s">
        <v>3580</v>
      </c>
      <c r="F74" s="195" t="s">
        <v>4014</v>
      </c>
    </row>
    <row r="75" spans="1:6" x14ac:dyDescent="0.35">
      <c r="A75" s="195" t="s">
        <v>3959</v>
      </c>
      <c r="B75" s="64">
        <v>189339</v>
      </c>
      <c r="C75" s="195" t="s">
        <v>3694</v>
      </c>
      <c r="D75" s="195" t="s">
        <v>4013</v>
      </c>
      <c r="E75" s="195" t="s">
        <v>3580</v>
      </c>
      <c r="F75" s="195" t="s">
        <v>4014</v>
      </c>
    </row>
    <row r="76" spans="1:6" x14ac:dyDescent="0.35">
      <c r="A76" s="195" t="s">
        <v>3960</v>
      </c>
      <c r="B76" s="64">
        <v>12267</v>
      </c>
      <c r="C76" s="195" t="s">
        <v>4070</v>
      </c>
      <c r="D76" s="195" t="s">
        <v>4013</v>
      </c>
      <c r="E76" s="195" t="s">
        <v>3580</v>
      </c>
      <c r="F76" s="195" t="s">
        <v>4014</v>
      </c>
    </row>
    <row r="77" spans="1:6" x14ac:dyDescent="0.35">
      <c r="A77" s="195" t="s">
        <v>3961</v>
      </c>
      <c r="B77" s="64">
        <v>13133</v>
      </c>
      <c r="C77" s="195" t="s">
        <v>4071</v>
      </c>
      <c r="D77" s="195" t="s">
        <v>4013</v>
      </c>
      <c r="E77" s="195" t="s">
        <v>3580</v>
      </c>
      <c r="F77" s="195" t="s">
        <v>4014</v>
      </c>
    </row>
    <row r="78" spans="1:6" x14ac:dyDescent="0.35">
      <c r="A78" s="195" t="s">
        <v>3962</v>
      </c>
      <c r="B78" s="64">
        <v>38263</v>
      </c>
      <c r="C78" s="195" t="s">
        <v>4072</v>
      </c>
      <c r="D78" s="195" t="s">
        <v>4013</v>
      </c>
      <c r="E78" s="195" t="s">
        <v>3580</v>
      </c>
      <c r="F78" s="195" t="s">
        <v>4014</v>
      </c>
    </row>
    <row r="79" spans="1:6" x14ac:dyDescent="0.35">
      <c r="A79" s="195" t="s">
        <v>3963</v>
      </c>
      <c r="B79" s="64">
        <v>32180</v>
      </c>
      <c r="C79" s="195" t="s">
        <v>4073</v>
      </c>
      <c r="D79" s="195" t="s">
        <v>4013</v>
      </c>
      <c r="E79" s="195" t="s">
        <v>3580</v>
      </c>
      <c r="F79" s="195" t="s">
        <v>4014</v>
      </c>
    </row>
    <row r="80" spans="1:6" x14ac:dyDescent="0.35">
      <c r="A80" s="195" t="s">
        <v>3964</v>
      </c>
      <c r="B80" s="64">
        <v>13791</v>
      </c>
      <c r="C80" s="195" t="s">
        <v>4074</v>
      </c>
      <c r="D80" s="195" t="s">
        <v>4013</v>
      </c>
      <c r="E80" s="195" t="s">
        <v>3580</v>
      </c>
      <c r="F80" s="195" t="s">
        <v>4014</v>
      </c>
    </row>
    <row r="81" spans="1:6" x14ac:dyDescent="0.35">
      <c r="A81" s="195" t="s">
        <v>3965</v>
      </c>
      <c r="B81" s="64">
        <v>42493</v>
      </c>
      <c r="C81" s="195" t="s">
        <v>4075</v>
      </c>
      <c r="D81" s="195" t="s">
        <v>4013</v>
      </c>
      <c r="E81" s="195" t="s">
        <v>3580</v>
      </c>
      <c r="F81" s="195" t="s">
        <v>4014</v>
      </c>
    </row>
    <row r="82" spans="1:6" x14ac:dyDescent="0.35">
      <c r="A82" s="195" t="s">
        <v>3966</v>
      </c>
      <c r="B82" s="64">
        <v>37212</v>
      </c>
      <c r="C82" s="195" t="s">
        <v>4076</v>
      </c>
      <c r="D82" s="195" t="s">
        <v>4013</v>
      </c>
      <c r="E82" s="195" t="s">
        <v>3580</v>
      </c>
      <c r="F82" s="195" t="s">
        <v>4014</v>
      </c>
    </row>
    <row r="83" spans="1:6" x14ac:dyDescent="0.35">
      <c r="A83" s="195" t="s">
        <v>3967</v>
      </c>
      <c r="B83" s="64">
        <v>319345</v>
      </c>
      <c r="C83" s="195" t="s">
        <v>4077</v>
      </c>
      <c r="D83" s="195" t="s">
        <v>4013</v>
      </c>
      <c r="E83" s="195" t="s">
        <v>3580</v>
      </c>
      <c r="F83" s="195" t="s">
        <v>4014</v>
      </c>
    </row>
    <row r="84" spans="1:6" x14ac:dyDescent="0.35">
      <c r="A84" s="195" t="s">
        <v>3968</v>
      </c>
      <c r="B84" s="64">
        <v>30719</v>
      </c>
      <c r="C84" s="195" t="s">
        <v>4078</v>
      </c>
      <c r="D84" s="195" t="s">
        <v>4013</v>
      </c>
      <c r="E84" s="195" t="s">
        <v>3580</v>
      </c>
      <c r="F84" s="195" t="s">
        <v>4014</v>
      </c>
    </row>
    <row r="85" spans="1:6" x14ac:dyDescent="0.35">
      <c r="A85" s="195" t="s">
        <v>3969</v>
      </c>
      <c r="B85" s="64">
        <v>26375</v>
      </c>
      <c r="C85" s="195" t="s">
        <v>4079</v>
      </c>
      <c r="D85" s="195" t="s">
        <v>4013</v>
      </c>
      <c r="E85" s="195" t="s">
        <v>3580</v>
      </c>
      <c r="F85" s="195" t="s">
        <v>4014</v>
      </c>
    </row>
    <row r="86" spans="1:6" x14ac:dyDescent="0.35">
      <c r="A86" s="195" t="s">
        <v>3970</v>
      </c>
      <c r="B86" s="64">
        <v>76091</v>
      </c>
      <c r="C86" s="195" t="s">
        <v>4080</v>
      </c>
      <c r="D86" s="195" t="s">
        <v>4013</v>
      </c>
      <c r="E86" s="195" t="s">
        <v>3580</v>
      </c>
      <c r="F86" s="195" t="s">
        <v>4014</v>
      </c>
    </row>
    <row r="87" spans="1:6" x14ac:dyDescent="0.35">
      <c r="A87" s="195" t="s">
        <v>3971</v>
      </c>
      <c r="B87" s="64">
        <v>63366</v>
      </c>
      <c r="C87" s="195" t="s">
        <v>4081</v>
      </c>
      <c r="D87" s="195" t="s">
        <v>4013</v>
      </c>
      <c r="E87" s="195" t="s">
        <v>3580</v>
      </c>
      <c r="F87" s="195" t="s">
        <v>4014</v>
      </c>
    </row>
    <row r="88" spans="1:6" x14ac:dyDescent="0.35">
      <c r="A88" s="195" t="s">
        <v>3972</v>
      </c>
      <c r="B88" s="64">
        <v>23945</v>
      </c>
      <c r="C88" s="195" t="s">
        <v>4082</v>
      </c>
      <c r="D88" s="195" t="s">
        <v>4013</v>
      </c>
      <c r="E88" s="195" t="s">
        <v>3580</v>
      </c>
      <c r="F88" s="195" t="s">
        <v>4014</v>
      </c>
    </row>
    <row r="89" spans="1:6" x14ac:dyDescent="0.35">
      <c r="A89" s="195" t="s">
        <v>3973</v>
      </c>
      <c r="B89" s="64">
        <v>55241</v>
      </c>
      <c r="C89" s="195" t="s">
        <v>4083</v>
      </c>
      <c r="D89" s="195" t="s">
        <v>4013</v>
      </c>
      <c r="E89" s="195" t="s">
        <v>3580</v>
      </c>
      <c r="F89" s="195" t="s">
        <v>4014</v>
      </c>
    </row>
    <row r="90" spans="1:6" x14ac:dyDescent="0.35">
      <c r="A90" s="195" t="s">
        <v>3974</v>
      </c>
      <c r="B90" s="64">
        <v>43608</v>
      </c>
      <c r="C90" s="195" t="s">
        <v>4084</v>
      </c>
      <c r="D90" s="195" t="s">
        <v>4013</v>
      </c>
      <c r="E90" s="195" t="s">
        <v>3580</v>
      </c>
      <c r="F90" s="195" t="s">
        <v>4014</v>
      </c>
    </row>
    <row r="91" spans="1:6" x14ac:dyDescent="0.35">
      <c r="A91" s="195" t="s">
        <v>3975</v>
      </c>
      <c r="B91" s="64">
        <v>186147</v>
      </c>
      <c r="C91" s="195" t="s">
        <v>4085</v>
      </c>
      <c r="D91" s="195" t="s">
        <v>4013</v>
      </c>
      <c r="E91" s="195" t="s">
        <v>3580</v>
      </c>
      <c r="F91" s="195" t="s">
        <v>4014</v>
      </c>
    </row>
    <row r="92" spans="1:6" x14ac:dyDescent="0.35">
      <c r="A92" s="195" t="s">
        <v>3976</v>
      </c>
      <c r="B92" s="64">
        <v>28889</v>
      </c>
      <c r="C92" s="195" t="s">
        <v>4086</v>
      </c>
      <c r="D92" s="195" t="s">
        <v>4013</v>
      </c>
      <c r="E92" s="195" t="s">
        <v>3580</v>
      </c>
      <c r="F92" s="195" t="s">
        <v>4014</v>
      </c>
    </row>
    <row r="93" spans="1:6" x14ac:dyDescent="0.35">
      <c r="A93" s="195" t="s">
        <v>3977</v>
      </c>
      <c r="B93" s="64">
        <v>20889</v>
      </c>
      <c r="C93" s="195" t="s">
        <v>4087</v>
      </c>
      <c r="D93" s="195" t="s">
        <v>4013</v>
      </c>
      <c r="E93" s="195" t="s">
        <v>3580</v>
      </c>
      <c r="F93" s="195" t="s">
        <v>4014</v>
      </c>
    </row>
    <row r="94" spans="1:6" x14ac:dyDescent="0.35">
      <c r="A94" s="195" t="s">
        <v>3978</v>
      </c>
      <c r="B94" s="64">
        <v>55966</v>
      </c>
      <c r="C94" s="195" t="s">
        <v>4088</v>
      </c>
      <c r="D94" s="195" t="s">
        <v>4013</v>
      </c>
      <c r="E94" s="195" t="s">
        <v>3580</v>
      </c>
      <c r="F94" s="195" t="s">
        <v>4014</v>
      </c>
    </row>
    <row r="95" spans="1:6" x14ac:dyDescent="0.35">
      <c r="A95" s="195" t="s">
        <v>3979</v>
      </c>
      <c r="B95" s="64">
        <v>31833</v>
      </c>
      <c r="C95" s="195" t="s">
        <v>4089</v>
      </c>
      <c r="D95" s="195" t="s">
        <v>4013</v>
      </c>
      <c r="E95" s="195" t="s">
        <v>3580</v>
      </c>
      <c r="F95" s="195" t="s">
        <v>4014</v>
      </c>
    </row>
    <row r="96" spans="1:6" x14ac:dyDescent="0.35">
      <c r="A96" s="195" t="s">
        <v>3980</v>
      </c>
      <c r="B96" s="64">
        <v>8094</v>
      </c>
      <c r="C96" s="195" t="s">
        <v>4090</v>
      </c>
      <c r="D96" s="195" t="s">
        <v>4013</v>
      </c>
      <c r="E96" s="195" t="s">
        <v>3580</v>
      </c>
      <c r="F96" s="195" t="s">
        <v>4014</v>
      </c>
    </row>
    <row r="97" spans="1:6" x14ac:dyDescent="0.35">
      <c r="A97" s="195" t="s">
        <v>3981</v>
      </c>
      <c r="B97" s="64">
        <v>21483</v>
      </c>
      <c r="C97" s="195" t="s">
        <v>4091</v>
      </c>
      <c r="D97" s="195" t="s">
        <v>4013</v>
      </c>
      <c r="E97" s="195" t="s">
        <v>3580</v>
      </c>
      <c r="F97" s="195" t="s">
        <v>4014</v>
      </c>
    </row>
    <row r="98" spans="1:6" x14ac:dyDescent="0.35">
      <c r="A98" s="195" t="s">
        <v>3982</v>
      </c>
      <c r="B98" s="64">
        <v>18993</v>
      </c>
      <c r="C98" s="195" t="s">
        <v>4092</v>
      </c>
      <c r="D98" s="195" t="s">
        <v>4013</v>
      </c>
      <c r="E98" s="195" t="s">
        <v>3580</v>
      </c>
      <c r="F98" s="195" t="s">
        <v>4014</v>
      </c>
    </row>
    <row r="99" spans="1:6" x14ac:dyDescent="0.35">
      <c r="A99" s="195" t="s">
        <v>3338</v>
      </c>
      <c r="B99" s="64">
        <v>52497</v>
      </c>
      <c r="C99" s="195" t="s">
        <v>3582</v>
      </c>
      <c r="D99" s="195" t="s">
        <v>3583</v>
      </c>
      <c r="E99" s="195" t="s">
        <v>3580</v>
      </c>
      <c r="F99" s="195" t="s">
        <v>3584</v>
      </c>
    </row>
    <row r="100" spans="1:6" x14ac:dyDescent="0.35">
      <c r="A100" s="195" t="s">
        <v>4093</v>
      </c>
      <c r="B100" s="64">
        <v>39917</v>
      </c>
      <c r="C100" s="195" t="s">
        <v>26</v>
      </c>
      <c r="D100" s="195" t="s">
        <v>4111</v>
      </c>
      <c r="E100" s="195" t="s">
        <v>3580</v>
      </c>
      <c r="F100" s="195" t="s">
        <v>4112</v>
      </c>
    </row>
    <row r="101" spans="1:6" x14ac:dyDescent="0.35">
      <c r="A101" s="195" t="s">
        <v>4094</v>
      </c>
      <c r="B101" s="64">
        <v>21762</v>
      </c>
      <c r="C101" s="195" t="s">
        <v>3985</v>
      </c>
      <c r="D101" s="195" t="s">
        <v>4111</v>
      </c>
      <c r="E101" s="195" t="s">
        <v>3580</v>
      </c>
      <c r="F101" s="195" t="s">
        <v>4112</v>
      </c>
    </row>
    <row r="102" spans="1:6" x14ac:dyDescent="0.35">
      <c r="A102" s="195" t="s">
        <v>4095</v>
      </c>
      <c r="B102" s="64">
        <v>26271</v>
      </c>
      <c r="C102" s="195" t="s">
        <v>3992</v>
      </c>
      <c r="D102" s="195" t="s">
        <v>4111</v>
      </c>
      <c r="E102" s="195" t="s">
        <v>3580</v>
      </c>
      <c r="F102" s="195" t="s">
        <v>4112</v>
      </c>
    </row>
    <row r="103" spans="1:6" x14ac:dyDescent="0.35">
      <c r="A103" s="195" t="s">
        <v>4096</v>
      </c>
      <c r="B103" s="64">
        <v>31923</v>
      </c>
      <c r="C103" s="195" t="s">
        <v>3999</v>
      </c>
      <c r="D103" s="195" t="s">
        <v>4111</v>
      </c>
      <c r="E103" s="195" t="s">
        <v>3580</v>
      </c>
      <c r="F103" s="195" t="s">
        <v>4112</v>
      </c>
    </row>
    <row r="104" spans="1:6" x14ac:dyDescent="0.35">
      <c r="A104" s="195" t="s">
        <v>4097</v>
      </c>
      <c r="B104" s="64">
        <v>55641</v>
      </c>
      <c r="C104" s="195" t="s">
        <v>4113</v>
      </c>
      <c r="D104" s="195" t="s">
        <v>4111</v>
      </c>
      <c r="E104" s="195" t="s">
        <v>3580</v>
      </c>
      <c r="F104" s="195" t="s">
        <v>4112</v>
      </c>
    </row>
    <row r="105" spans="1:6" x14ac:dyDescent="0.35">
      <c r="A105" s="195" t="s">
        <v>4098</v>
      </c>
      <c r="B105" s="64">
        <v>72262</v>
      </c>
      <c r="C105" s="195" t="s">
        <v>4114</v>
      </c>
      <c r="D105" s="195" t="s">
        <v>4111</v>
      </c>
      <c r="E105" s="195" t="s">
        <v>3580</v>
      </c>
      <c r="F105" s="195" t="s">
        <v>4112</v>
      </c>
    </row>
    <row r="106" spans="1:6" x14ac:dyDescent="0.35">
      <c r="A106" s="195" t="s">
        <v>4099</v>
      </c>
      <c r="B106" s="64">
        <v>42105</v>
      </c>
      <c r="C106" s="195" t="s">
        <v>3587</v>
      </c>
      <c r="D106" s="195" t="s">
        <v>4111</v>
      </c>
      <c r="E106" s="195" t="s">
        <v>3580</v>
      </c>
      <c r="F106" s="195" t="s">
        <v>4112</v>
      </c>
    </row>
    <row r="107" spans="1:6" x14ac:dyDescent="0.35">
      <c r="A107" s="195" t="s">
        <v>4100</v>
      </c>
      <c r="B107" s="64">
        <v>24934</v>
      </c>
      <c r="C107" s="195" t="s">
        <v>4115</v>
      </c>
      <c r="D107" s="195" t="s">
        <v>4111</v>
      </c>
      <c r="E107" s="195" t="s">
        <v>3580</v>
      </c>
      <c r="F107" s="195" t="s">
        <v>4112</v>
      </c>
    </row>
    <row r="108" spans="1:6" x14ac:dyDescent="0.35">
      <c r="A108" s="195" t="s">
        <v>4101</v>
      </c>
      <c r="B108" s="64">
        <v>30048</v>
      </c>
      <c r="C108" s="195" t="s">
        <v>4116</v>
      </c>
      <c r="D108" s="195" t="s">
        <v>4111</v>
      </c>
      <c r="E108" s="195" t="s">
        <v>3580</v>
      </c>
      <c r="F108" s="195" t="s">
        <v>4112</v>
      </c>
    </row>
    <row r="109" spans="1:6" x14ac:dyDescent="0.35">
      <c r="A109" s="195" t="s">
        <v>4102</v>
      </c>
      <c r="B109" s="64">
        <v>36802</v>
      </c>
      <c r="C109" s="195" t="s">
        <v>4117</v>
      </c>
      <c r="D109" s="195" t="s">
        <v>4111</v>
      </c>
      <c r="E109" s="195" t="s">
        <v>3580</v>
      </c>
      <c r="F109" s="195" t="s">
        <v>4112</v>
      </c>
    </row>
    <row r="110" spans="1:6" x14ac:dyDescent="0.35">
      <c r="A110" s="195" t="s">
        <v>4103</v>
      </c>
      <c r="B110" s="64">
        <v>62344</v>
      </c>
      <c r="C110" s="195" t="s">
        <v>4118</v>
      </c>
      <c r="D110" s="195" t="s">
        <v>4111</v>
      </c>
      <c r="E110" s="195" t="s">
        <v>3580</v>
      </c>
      <c r="F110" s="195" t="s">
        <v>4112</v>
      </c>
    </row>
    <row r="111" spans="1:6" x14ac:dyDescent="0.35">
      <c r="A111" s="195" t="s">
        <v>4104</v>
      </c>
      <c r="B111" s="64">
        <v>83944</v>
      </c>
      <c r="C111" s="195" t="s">
        <v>4119</v>
      </c>
      <c r="D111" s="195" t="s">
        <v>4111</v>
      </c>
      <c r="E111" s="195" t="s">
        <v>3580</v>
      </c>
      <c r="F111" s="195" t="s">
        <v>4112</v>
      </c>
    </row>
    <row r="112" spans="1:6" x14ac:dyDescent="0.35">
      <c r="A112" s="195" t="s">
        <v>4105</v>
      </c>
      <c r="B112" s="64">
        <v>36132</v>
      </c>
      <c r="C112" s="195" t="s">
        <v>3658</v>
      </c>
      <c r="D112" s="195" t="s">
        <v>4111</v>
      </c>
      <c r="E112" s="195" t="s">
        <v>3580</v>
      </c>
      <c r="F112" s="195" t="s">
        <v>4112</v>
      </c>
    </row>
    <row r="113" spans="1:6" x14ac:dyDescent="0.35">
      <c r="A113" s="195" t="s">
        <v>4106</v>
      </c>
      <c r="B113" s="64">
        <v>17746</v>
      </c>
      <c r="C113" s="195" t="s">
        <v>4120</v>
      </c>
      <c r="D113" s="195" t="s">
        <v>4111</v>
      </c>
      <c r="E113" s="195" t="s">
        <v>3580</v>
      </c>
      <c r="F113" s="195" t="s">
        <v>4112</v>
      </c>
    </row>
    <row r="114" spans="1:6" x14ac:dyDescent="0.35">
      <c r="A114" s="195" t="s">
        <v>4107</v>
      </c>
      <c r="B114" s="64">
        <v>22253</v>
      </c>
      <c r="C114" s="195" t="s">
        <v>4121</v>
      </c>
      <c r="D114" s="195" t="s">
        <v>4111</v>
      </c>
      <c r="E114" s="195" t="s">
        <v>3580</v>
      </c>
      <c r="F114" s="195" t="s">
        <v>4112</v>
      </c>
    </row>
    <row r="115" spans="1:6" x14ac:dyDescent="0.35">
      <c r="A115" s="195" t="s">
        <v>4108</v>
      </c>
      <c r="B115" s="64">
        <v>28329</v>
      </c>
      <c r="C115" s="195" t="s">
        <v>4122</v>
      </c>
      <c r="D115" s="195" t="s">
        <v>4111</v>
      </c>
      <c r="E115" s="195" t="s">
        <v>3580</v>
      </c>
      <c r="F115" s="195" t="s">
        <v>4112</v>
      </c>
    </row>
    <row r="116" spans="1:6" x14ac:dyDescent="0.35">
      <c r="A116" s="195" t="s">
        <v>4109</v>
      </c>
      <c r="B116" s="64">
        <v>50968</v>
      </c>
      <c r="C116" s="195" t="s">
        <v>4123</v>
      </c>
      <c r="D116" s="195" t="s">
        <v>4111</v>
      </c>
      <c r="E116" s="195" t="s">
        <v>3580</v>
      </c>
      <c r="F116" s="195" t="s">
        <v>4112</v>
      </c>
    </row>
    <row r="117" spans="1:6" x14ac:dyDescent="0.35">
      <c r="A117" s="195" t="s">
        <v>4110</v>
      </c>
      <c r="B117" s="64">
        <v>64629</v>
      </c>
      <c r="C117" s="195" t="s">
        <v>4124</v>
      </c>
      <c r="D117" s="195" t="s">
        <v>4111</v>
      </c>
      <c r="E117" s="195" t="s">
        <v>3580</v>
      </c>
      <c r="F117" s="195" t="s">
        <v>4112</v>
      </c>
    </row>
    <row r="118" spans="1:6" x14ac:dyDescent="0.35">
      <c r="A118" s="195" t="s">
        <v>3432</v>
      </c>
      <c r="B118" s="64">
        <v>2198021</v>
      </c>
      <c r="C118" s="195" t="s">
        <v>26</v>
      </c>
      <c r="D118" s="195" t="s">
        <v>3585</v>
      </c>
      <c r="E118" s="195" t="s">
        <v>3580</v>
      </c>
      <c r="F118" s="195" t="s">
        <v>3586</v>
      </c>
    </row>
    <row r="119" spans="1:6" x14ac:dyDescent="0.35">
      <c r="A119" s="195" t="s">
        <v>3433</v>
      </c>
      <c r="B119" s="64">
        <v>1056520</v>
      </c>
      <c r="C119" s="195" t="s">
        <v>3587</v>
      </c>
      <c r="D119" s="195" t="s">
        <v>3585</v>
      </c>
      <c r="E119" s="195" t="s">
        <v>3580</v>
      </c>
      <c r="F119" s="195" t="s">
        <v>3586</v>
      </c>
    </row>
    <row r="120" spans="1:6" x14ac:dyDescent="0.35">
      <c r="A120" s="195" t="s">
        <v>3434</v>
      </c>
      <c r="B120" s="64">
        <v>65150</v>
      </c>
      <c r="C120" s="195" t="s">
        <v>3588</v>
      </c>
      <c r="D120" s="195" t="s">
        <v>3585</v>
      </c>
      <c r="E120" s="195" t="s">
        <v>3580</v>
      </c>
      <c r="F120" s="195" t="s">
        <v>3586</v>
      </c>
    </row>
    <row r="121" spans="1:6" x14ac:dyDescent="0.35">
      <c r="A121" s="195" t="s">
        <v>3435</v>
      </c>
      <c r="B121" s="64">
        <v>18851</v>
      </c>
      <c r="C121" s="195" t="s">
        <v>3589</v>
      </c>
      <c r="D121" s="195" t="s">
        <v>3585</v>
      </c>
      <c r="E121" s="195" t="s">
        <v>3580</v>
      </c>
      <c r="F121" s="195" t="s">
        <v>3586</v>
      </c>
    </row>
    <row r="122" spans="1:6" x14ac:dyDescent="0.35">
      <c r="A122" s="195" t="s">
        <v>3436</v>
      </c>
      <c r="B122" s="195">
        <v>24</v>
      </c>
      <c r="C122" s="195" t="s">
        <v>3590</v>
      </c>
      <c r="D122" s="195" t="s">
        <v>3585</v>
      </c>
      <c r="E122" s="195" t="s">
        <v>3580</v>
      </c>
      <c r="F122" s="195" t="s">
        <v>3586</v>
      </c>
    </row>
    <row r="123" spans="1:6" x14ac:dyDescent="0.35">
      <c r="A123" s="195" t="s">
        <v>3437</v>
      </c>
      <c r="B123" s="64">
        <v>18827</v>
      </c>
      <c r="C123" s="195" t="s">
        <v>3591</v>
      </c>
      <c r="D123" s="195" t="s">
        <v>3585</v>
      </c>
      <c r="E123" s="195" t="s">
        <v>3580</v>
      </c>
      <c r="F123" s="195" t="s">
        <v>3586</v>
      </c>
    </row>
    <row r="124" spans="1:6" x14ac:dyDescent="0.35">
      <c r="A124" s="195" t="s">
        <v>3438</v>
      </c>
      <c r="B124" s="64">
        <v>10930</v>
      </c>
      <c r="C124" s="195" t="s">
        <v>3592</v>
      </c>
      <c r="D124" s="195" t="s">
        <v>3585</v>
      </c>
      <c r="E124" s="195" t="s">
        <v>3580</v>
      </c>
      <c r="F124" s="195" t="s">
        <v>3586</v>
      </c>
    </row>
    <row r="125" spans="1:6" x14ac:dyDescent="0.35">
      <c r="A125" s="195" t="s">
        <v>3439</v>
      </c>
      <c r="B125" s="64">
        <v>7897</v>
      </c>
      <c r="C125" s="195" t="s">
        <v>3593</v>
      </c>
      <c r="D125" s="195" t="s">
        <v>3585</v>
      </c>
      <c r="E125" s="195" t="s">
        <v>3580</v>
      </c>
      <c r="F125" s="195" t="s">
        <v>3586</v>
      </c>
    </row>
    <row r="126" spans="1:6" x14ac:dyDescent="0.35">
      <c r="A126" s="195" t="s">
        <v>3440</v>
      </c>
      <c r="B126" s="64">
        <v>46299</v>
      </c>
      <c r="C126" s="195" t="s">
        <v>3594</v>
      </c>
      <c r="D126" s="195" t="s">
        <v>3585</v>
      </c>
      <c r="E126" s="195" t="s">
        <v>3580</v>
      </c>
      <c r="F126" s="195" t="s">
        <v>3586</v>
      </c>
    </row>
    <row r="127" spans="1:6" x14ac:dyDescent="0.35">
      <c r="A127" s="195" t="s">
        <v>3441</v>
      </c>
      <c r="B127" s="64">
        <v>37844</v>
      </c>
      <c r="C127" s="195" t="s">
        <v>3595</v>
      </c>
      <c r="D127" s="195" t="s">
        <v>3585</v>
      </c>
      <c r="E127" s="195" t="s">
        <v>3580</v>
      </c>
      <c r="F127" s="195" t="s">
        <v>3586</v>
      </c>
    </row>
    <row r="128" spans="1:6" x14ac:dyDescent="0.35">
      <c r="A128" s="195" t="s">
        <v>3442</v>
      </c>
      <c r="B128" s="64">
        <v>24118</v>
      </c>
      <c r="C128" s="195" t="s">
        <v>3596</v>
      </c>
      <c r="D128" s="195" t="s">
        <v>3585</v>
      </c>
      <c r="E128" s="195" t="s">
        <v>3580</v>
      </c>
      <c r="F128" s="195" t="s">
        <v>3586</v>
      </c>
    </row>
    <row r="129" spans="1:6" x14ac:dyDescent="0.35">
      <c r="A129" s="195" t="s">
        <v>3443</v>
      </c>
      <c r="B129" s="195">
        <v>17</v>
      </c>
      <c r="C129" s="195" t="s">
        <v>3597</v>
      </c>
      <c r="D129" s="195" t="s">
        <v>3585</v>
      </c>
      <c r="E129" s="195" t="s">
        <v>3580</v>
      </c>
      <c r="F129" s="195" t="s">
        <v>3586</v>
      </c>
    </row>
    <row r="130" spans="1:6" x14ac:dyDescent="0.35">
      <c r="A130" s="195" t="s">
        <v>3444</v>
      </c>
      <c r="B130" s="64">
        <v>24101</v>
      </c>
      <c r="C130" s="195" t="s">
        <v>3598</v>
      </c>
      <c r="D130" s="195" t="s">
        <v>3585</v>
      </c>
      <c r="E130" s="195" t="s">
        <v>3580</v>
      </c>
      <c r="F130" s="195" t="s">
        <v>3586</v>
      </c>
    </row>
    <row r="131" spans="1:6" x14ac:dyDescent="0.35">
      <c r="A131" s="195" t="s">
        <v>3445</v>
      </c>
      <c r="B131" s="64">
        <v>18084</v>
      </c>
      <c r="C131" s="195" t="s">
        <v>3599</v>
      </c>
      <c r="D131" s="195" t="s">
        <v>3585</v>
      </c>
      <c r="E131" s="195" t="s">
        <v>3580</v>
      </c>
      <c r="F131" s="195" t="s">
        <v>3586</v>
      </c>
    </row>
    <row r="132" spans="1:6" x14ac:dyDescent="0.35">
      <c r="A132" s="195" t="s">
        <v>3446</v>
      </c>
      <c r="B132" s="64">
        <v>6017</v>
      </c>
      <c r="C132" s="195" t="s">
        <v>3600</v>
      </c>
      <c r="D132" s="195" t="s">
        <v>3585</v>
      </c>
      <c r="E132" s="195" t="s">
        <v>3580</v>
      </c>
      <c r="F132" s="195" t="s">
        <v>3586</v>
      </c>
    </row>
    <row r="133" spans="1:6" x14ac:dyDescent="0.35">
      <c r="A133" s="195" t="s">
        <v>3447</v>
      </c>
      <c r="B133" s="64">
        <v>13726</v>
      </c>
      <c r="C133" s="195" t="s">
        <v>3601</v>
      </c>
      <c r="D133" s="195" t="s">
        <v>3585</v>
      </c>
      <c r="E133" s="195" t="s">
        <v>3580</v>
      </c>
      <c r="F133" s="195" t="s">
        <v>3586</v>
      </c>
    </row>
    <row r="134" spans="1:6" x14ac:dyDescent="0.35">
      <c r="A134" s="195" t="s">
        <v>3448</v>
      </c>
      <c r="B134" s="64">
        <v>65351</v>
      </c>
      <c r="C134" s="195" t="s">
        <v>3602</v>
      </c>
      <c r="D134" s="195" t="s">
        <v>3585</v>
      </c>
      <c r="E134" s="195" t="s">
        <v>3580</v>
      </c>
      <c r="F134" s="195" t="s">
        <v>3586</v>
      </c>
    </row>
    <row r="135" spans="1:6" x14ac:dyDescent="0.35">
      <c r="A135" s="195" t="s">
        <v>3449</v>
      </c>
      <c r="B135" s="64">
        <v>50668</v>
      </c>
      <c r="C135" s="195" t="s">
        <v>3603</v>
      </c>
      <c r="D135" s="195" t="s">
        <v>3585</v>
      </c>
      <c r="E135" s="195" t="s">
        <v>3580</v>
      </c>
      <c r="F135" s="195" t="s">
        <v>3586</v>
      </c>
    </row>
    <row r="136" spans="1:6" x14ac:dyDescent="0.35">
      <c r="A136" s="195" t="s">
        <v>3450</v>
      </c>
      <c r="B136" s="195">
        <v>47</v>
      </c>
      <c r="C136" s="195" t="s">
        <v>3604</v>
      </c>
      <c r="D136" s="195" t="s">
        <v>3585</v>
      </c>
      <c r="E136" s="195" t="s">
        <v>3580</v>
      </c>
      <c r="F136" s="195" t="s">
        <v>3586</v>
      </c>
    </row>
    <row r="137" spans="1:6" x14ac:dyDescent="0.35">
      <c r="A137" s="195" t="s">
        <v>3451</v>
      </c>
      <c r="B137" s="64">
        <v>50621</v>
      </c>
      <c r="C137" s="195" t="s">
        <v>3605</v>
      </c>
      <c r="D137" s="195" t="s">
        <v>3585</v>
      </c>
      <c r="E137" s="195" t="s">
        <v>3580</v>
      </c>
      <c r="F137" s="195" t="s">
        <v>3586</v>
      </c>
    </row>
    <row r="138" spans="1:6" x14ac:dyDescent="0.35">
      <c r="A138" s="195" t="s">
        <v>3452</v>
      </c>
      <c r="B138" s="64">
        <v>42630</v>
      </c>
      <c r="C138" s="195" t="s">
        <v>3606</v>
      </c>
      <c r="D138" s="195" t="s">
        <v>3585</v>
      </c>
      <c r="E138" s="195" t="s">
        <v>3580</v>
      </c>
      <c r="F138" s="195" t="s">
        <v>3586</v>
      </c>
    </row>
    <row r="139" spans="1:6" x14ac:dyDescent="0.35">
      <c r="A139" s="195" t="s">
        <v>3453</v>
      </c>
      <c r="B139" s="64">
        <v>7991</v>
      </c>
      <c r="C139" s="195" t="s">
        <v>3607</v>
      </c>
      <c r="D139" s="195" t="s">
        <v>3585</v>
      </c>
      <c r="E139" s="195" t="s">
        <v>3580</v>
      </c>
      <c r="F139" s="195" t="s">
        <v>3586</v>
      </c>
    </row>
    <row r="140" spans="1:6" x14ac:dyDescent="0.35">
      <c r="A140" s="195" t="s">
        <v>3454</v>
      </c>
      <c r="B140" s="64">
        <v>14683</v>
      </c>
      <c r="C140" s="195" t="s">
        <v>3608</v>
      </c>
      <c r="D140" s="195" t="s">
        <v>3585</v>
      </c>
      <c r="E140" s="195" t="s">
        <v>3580</v>
      </c>
      <c r="F140" s="195" t="s">
        <v>3586</v>
      </c>
    </row>
    <row r="141" spans="1:6" x14ac:dyDescent="0.35">
      <c r="A141" s="195" t="s">
        <v>3455</v>
      </c>
      <c r="B141" s="64">
        <v>137500</v>
      </c>
      <c r="C141" s="195" t="s">
        <v>3609</v>
      </c>
      <c r="D141" s="195" t="s">
        <v>3585</v>
      </c>
      <c r="E141" s="195" t="s">
        <v>3580</v>
      </c>
      <c r="F141" s="195" t="s">
        <v>3586</v>
      </c>
    </row>
    <row r="142" spans="1:6" x14ac:dyDescent="0.35">
      <c r="A142" s="195" t="s">
        <v>3456</v>
      </c>
      <c r="B142" s="64">
        <v>119926</v>
      </c>
      <c r="C142" s="195" t="s">
        <v>3610</v>
      </c>
      <c r="D142" s="195" t="s">
        <v>3585</v>
      </c>
      <c r="E142" s="195" t="s">
        <v>3580</v>
      </c>
      <c r="F142" s="195" t="s">
        <v>3586</v>
      </c>
    </row>
    <row r="143" spans="1:6" x14ac:dyDescent="0.35">
      <c r="A143" s="195" t="s">
        <v>3457</v>
      </c>
      <c r="B143" s="195">
        <v>166</v>
      </c>
      <c r="C143" s="195" t="s">
        <v>3611</v>
      </c>
      <c r="D143" s="195" t="s">
        <v>3585</v>
      </c>
      <c r="E143" s="195" t="s">
        <v>3580</v>
      </c>
      <c r="F143" s="195" t="s">
        <v>3586</v>
      </c>
    </row>
    <row r="144" spans="1:6" x14ac:dyDescent="0.35">
      <c r="A144" s="195" t="s">
        <v>3458</v>
      </c>
      <c r="B144" s="64">
        <v>119760</v>
      </c>
      <c r="C144" s="195" t="s">
        <v>3612</v>
      </c>
      <c r="D144" s="195" t="s">
        <v>3585</v>
      </c>
      <c r="E144" s="195" t="s">
        <v>3580</v>
      </c>
      <c r="F144" s="195" t="s">
        <v>3586</v>
      </c>
    </row>
    <row r="145" spans="1:6" x14ac:dyDescent="0.35">
      <c r="A145" s="195" t="s">
        <v>3459</v>
      </c>
      <c r="B145" s="64">
        <v>109140</v>
      </c>
      <c r="C145" s="195" t="s">
        <v>3613</v>
      </c>
      <c r="D145" s="195" t="s">
        <v>3585</v>
      </c>
      <c r="E145" s="195" t="s">
        <v>3580</v>
      </c>
      <c r="F145" s="195" t="s">
        <v>3586</v>
      </c>
    </row>
    <row r="146" spans="1:6" x14ac:dyDescent="0.35">
      <c r="A146" s="195" t="s">
        <v>3460</v>
      </c>
      <c r="B146" s="64">
        <v>10620</v>
      </c>
      <c r="C146" s="195" t="s">
        <v>3614</v>
      </c>
      <c r="D146" s="195" t="s">
        <v>3585</v>
      </c>
      <c r="E146" s="195" t="s">
        <v>3580</v>
      </c>
      <c r="F146" s="195" t="s">
        <v>3586</v>
      </c>
    </row>
    <row r="147" spans="1:6" x14ac:dyDescent="0.35">
      <c r="A147" s="195" t="s">
        <v>3461</v>
      </c>
      <c r="B147" s="64">
        <v>17574</v>
      </c>
      <c r="C147" s="195" t="s">
        <v>3615</v>
      </c>
      <c r="D147" s="195" t="s">
        <v>3585</v>
      </c>
      <c r="E147" s="195" t="s">
        <v>3580</v>
      </c>
      <c r="F147" s="195" t="s">
        <v>3586</v>
      </c>
    </row>
    <row r="148" spans="1:6" x14ac:dyDescent="0.35">
      <c r="A148" s="195" t="s">
        <v>3462</v>
      </c>
      <c r="B148" s="64">
        <v>125659</v>
      </c>
      <c r="C148" s="195" t="s">
        <v>3616</v>
      </c>
      <c r="D148" s="195" t="s">
        <v>3585</v>
      </c>
      <c r="E148" s="195" t="s">
        <v>3580</v>
      </c>
      <c r="F148" s="195" t="s">
        <v>3586</v>
      </c>
    </row>
    <row r="149" spans="1:6" x14ac:dyDescent="0.35">
      <c r="A149" s="195" t="s">
        <v>3463</v>
      </c>
      <c r="B149" s="64">
        <v>113922</v>
      </c>
      <c r="C149" s="195" t="s">
        <v>3617</v>
      </c>
      <c r="D149" s="195" t="s">
        <v>3585</v>
      </c>
      <c r="E149" s="195" t="s">
        <v>3580</v>
      </c>
      <c r="F149" s="195" t="s">
        <v>3586</v>
      </c>
    </row>
    <row r="150" spans="1:6" x14ac:dyDescent="0.35">
      <c r="A150" s="195" t="s">
        <v>3464</v>
      </c>
      <c r="B150" s="195">
        <v>159</v>
      </c>
      <c r="C150" s="195" t="s">
        <v>3618</v>
      </c>
      <c r="D150" s="195" t="s">
        <v>3585</v>
      </c>
      <c r="E150" s="195" t="s">
        <v>3580</v>
      </c>
      <c r="F150" s="195" t="s">
        <v>3586</v>
      </c>
    </row>
    <row r="151" spans="1:6" x14ac:dyDescent="0.35">
      <c r="A151" s="195" t="s">
        <v>3465</v>
      </c>
      <c r="B151" s="64">
        <v>113763</v>
      </c>
      <c r="C151" s="195" t="s">
        <v>3619</v>
      </c>
      <c r="D151" s="195" t="s">
        <v>3585</v>
      </c>
      <c r="E151" s="195" t="s">
        <v>3580</v>
      </c>
      <c r="F151" s="195" t="s">
        <v>3586</v>
      </c>
    </row>
    <row r="152" spans="1:6" x14ac:dyDescent="0.35">
      <c r="A152" s="195" t="s">
        <v>3466</v>
      </c>
      <c r="B152" s="64">
        <v>105455</v>
      </c>
      <c r="C152" s="195" t="s">
        <v>3620</v>
      </c>
      <c r="D152" s="195" t="s">
        <v>3585</v>
      </c>
      <c r="E152" s="195" t="s">
        <v>3580</v>
      </c>
      <c r="F152" s="195" t="s">
        <v>3586</v>
      </c>
    </row>
    <row r="153" spans="1:6" x14ac:dyDescent="0.35">
      <c r="A153" s="195" t="s">
        <v>3467</v>
      </c>
      <c r="B153" s="64">
        <v>8308</v>
      </c>
      <c r="C153" s="195" t="s">
        <v>3621</v>
      </c>
      <c r="D153" s="195" t="s">
        <v>3585</v>
      </c>
      <c r="E153" s="195" t="s">
        <v>3580</v>
      </c>
      <c r="F153" s="195" t="s">
        <v>3586</v>
      </c>
    </row>
    <row r="154" spans="1:6" x14ac:dyDescent="0.35">
      <c r="A154" s="195" t="s">
        <v>3468</v>
      </c>
      <c r="B154" s="64">
        <v>11737</v>
      </c>
      <c r="C154" s="195" t="s">
        <v>3622</v>
      </c>
      <c r="D154" s="195" t="s">
        <v>3585</v>
      </c>
      <c r="E154" s="195" t="s">
        <v>3580</v>
      </c>
      <c r="F154" s="195" t="s">
        <v>3586</v>
      </c>
    </row>
    <row r="155" spans="1:6" x14ac:dyDescent="0.35">
      <c r="A155" s="195" t="s">
        <v>3469</v>
      </c>
      <c r="B155" s="64">
        <v>191119</v>
      </c>
      <c r="C155" s="195" t="s">
        <v>3623</v>
      </c>
      <c r="D155" s="195" t="s">
        <v>3585</v>
      </c>
      <c r="E155" s="195" t="s">
        <v>3580</v>
      </c>
      <c r="F155" s="195" t="s">
        <v>3586</v>
      </c>
    </row>
    <row r="156" spans="1:6" x14ac:dyDescent="0.35">
      <c r="A156" s="195" t="s">
        <v>3470</v>
      </c>
      <c r="B156" s="64">
        <v>172753</v>
      </c>
      <c r="C156" s="195" t="s">
        <v>3624</v>
      </c>
      <c r="D156" s="195" t="s">
        <v>3585</v>
      </c>
      <c r="E156" s="195" t="s">
        <v>3580</v>
      </c>
      <c r="F156" s="195" t="s">
        <v>3586</v>
      </c>
    </row>
    <row r="157" spans="1:6" x14ac:dyDescent="0.35">
      <c r="A157" s="195" t="s">
        <v>3471</v>
      </c>
      <c r="B157" s="195">
        <v>32</v>
      </c>
      <c r="C157" s="195" t="s">
        <v>3625</v>
      </c>
      <c r="D157" s="195" t="s">
        <v>3585</v>
      </c>
      <c r="E157" s="195" t="s">
        <v>3580</v>
      </c>
      <c r="F157" s="195" t="s">
        <v>3586</v>
      </c>
    </row>
    <row r="158" spans="1:6" x14ac:dyDescent="0.35">
      <c r="A158" s="195" t="s">
        <v>3472</v>
      </c>
      <c r="B158" s="64">
        <v>172721</v>
      </c>
      <c r="C158" s="195" t="s">
        <v>3626</v>
      </c>
      <c r="D158" s="195" t="s">
        <v>3585</v>
      </c>
      <c r="E158" s="195" t="s">
        <v>3580</v>
      </c>
      <c r="F158" s="195" t="s">
        <v>3586</v>
      </c>
    </row>
    <row r="159" spans="1:6" x14ac:dyDescent="0.35">
      <c r="A159" s="195" t="s">
        <v>3473</v>
      </c>
      <c r="B159" s="64">
        <v>161062</v>
      </c>
      <c r="C159" s="195" t="s">
        <v>3627</v>
      </c>
      <c r="D159" s="195" t="s">
        <v>3585</v>
      </c>
      <c r="E159" s="195" t="s">
        <v>3580</v>
      </c>
      <c r="F159" s="195" t="s">
        <v>3586</v>
      </c>
    </row>
    <row r="160" spans="1:6" x14ac:dyDescent="0.35">
      <c r="A160" s="195" t="s">
        <v>3474</v>
      </c>
      <c r="B160" s="64">
        <v>11659</v>
      </c>
      <c r="C160" s="195" t="s">
        <v>3628</v>
      </c>
      <c r="D160" s="195" t="s">
        <v>3585</v>
      </c>
      <c r="E160" s="195" t="s">
        <v>3580</v>
      </c>
      <c r="F160" s="195" t="s">
        <v>3586</v>
      </c>
    </row>
    <row r="161" spans="1:6" x14ac:dyDescent="0.35">
      <c r="A161" s="195" t="s">
        <v>3475</v>
      </c>
      <c r="B161" s="64">
        <v>18366</v>
      </c>
      <c r="C161" s="195" t="s">
        <v>3629</v>
      </c>
      <c r="D161" s="195" t="s">
        <v>3585</v>
      </c>
      <c r="E161" s="195" t="s">
        <v>3580</v>
      </c>
      <c r="F161" s="195" t="s">
        <v>3586</v>
      </c>
    </row>
    <row r="162" spans="1:6" x14ac:dyDescent="0.35">
      <c r="A162" s="195" t="s">
        <v>3476</v>
      </c>
      <c r="B162" s="64">
        <v>163754</v>
      </c>
      <c r="C162" s="195" t="s">
        <v>3630</v>
      </c>
      <c r="D162" s="195" t="s">
        <v>3585</v>
      </c>
      <c r="E162" s="195" t="s">
        <v>3580</v>
      </c>
      <c r="F162" s="195" t="s">
        <v>3586</v>
      </c>
    </row>
    <row r="163" spans="1:6" x14ac:dyDescent="0.35">
      <c r="A163" s="195" t="s">
        <v>3477</v>
      </c>
      <c r="B163" s="64">
        <v>135741</v>
      </c>
      <c r="C163" s="195" t="s">
        <v>3631</v>
      </c>
      <c r="D163" s="195" t="s">
        <v>3585</v>
      </c>
      <c r="E163" s="195" t="s">
        <v>3580</v>
      </c>
      <c r="F163" s="195" t="s">
        <v>3586</v>
      </c>
    </row>
    <row r="164" spans="1:6" x14ac:dyDescent="0.35">
      <c r="A164" s="195" t="s">
        <v>3478</v>
      </c>
      <c r="B164" s="195">
        <v>44</v>
      </c>
      <c r="C164" s="195" t="s">
        <v>3632</v>
      </c>
      <c r="D164" s="195" t="s">
        <v>3585</v>
      </c>
      <c r="E164" s="195" t="s">
        <v>3580</v>
      </c>
      <c r="F164" s="195" t="s">
        <v>3586</v>
      </c>
    </row>
    <row r="165" spans="1:6" x14ac:dyDescent="0.35">
      <c r="A165" s="195" t="s">
        <v>3479</v>
      </c>
      <c r="B165" s="64">
        <v>135697</v>
      </c>
      <c r="C165" s="195" t="s">
        <v>3633</v>
      </c>
      <c r="D165" s="195" t="s">
        <v>3585</v>
      </c>
      <c r="E165" s="195" t="s">
        <v>3580</v>
      </c>
      <c r="F165" s="195" t="s">
        <v>3586</v>
      </c>
    </row>
    <row r="166" spans="1:6" x14ac:dyDescent="0.35">
      <c r="A166" s="195" t="s">
        <v>3480</v>
      </c>
      <c r="B166" s="64">
        <v>124241</v>
      </c>
      <c r="C166" s="195" t="s">
        <v>3634</v>
      </c>
      <c r="D166" s="195" t="s">
        <v>3585</v>
      </c>
      <c r="E166" s="195" t="s">
        <v>3580</v>
      </c>
      <c r="F166" s="195" t="s">
        <v>3586</v>
      </c>
    </row>
    <row r="167" spans="1:6" x14ac:dyDescent="0.35">
      <c r="A167" s="195" t="s">
        <v>3481</v>
      </c>
      <c r="B167" s="64">
        <v>11456</v>
      </c>
      <c r="C167" s="195" t="s">
        <v>3635</v>
      </c>
      <c r="D167" s="195" t="s">
        <v>3585</v>
      </c>
      <c r="E167" s="195" t="s">
        <v>3580</v>
      </c>
      <c r="F167" s="195" t="s">
        <v>3586</v>
      </c>
    </row>
    <row r="168" spans="1:6" x14ac:dyDescent="0.35">
      <c r="A168" s="195" t="s">
        <v>3482</v>
      </c>
      <c r="B168" s="64">
        <v>28013</v>
      </c>
      <c r="C168" s="195" t="s">
        <v>3636</v>
      </c>
      <c r="D168" s="195" t="s">
        <v>3585</v>
      </c>
      <c r="E168" s="195" t="s">
        <v>3580</v>
      </c>
      <c r="F168" s="195" t="s">
        <v>3586</v>
      </c>
    </row>
    <row r="169" spans="1:6" x14ac:dyDescent="0.35">
      <c r="A169" s="195" t="s">
        <v>3483</v>
      </c>
      <c r="B169" s="64">
        <v>75318</v>
      </c>
      <c r="C169" s="195" t="s">
        <v>3637</v>
      </c>
      <c r="D169" s="195" t="s">
        <v>3585</v>
      </c>
      <c r="E169" s="195" t="s">
        <v>3580</v>
      </c>
      <c r="F169" s="195" t="s">
        <v>3586</v>
      </c>
    </row>
    <row r="170" spans="1:6" x14ac:dyDescent="0.35">
      <c r="A170" s="195" t="s">
        <v>3484</v>
      </c>
      <c r="B170" s="64">
        <v>54244</v>
      </c>
      <c r="C170" s="195" t="s">
        <v>3638</v>
      </c>
      <c r="D170" s="195" t="s">
        <v>3585</v>
      </c>
      <c r="E170" s="195" t="s">
        <v>3580</v>
      </c>
      <c r="F170" s="195" t="s">
        <v>3586</v>
      </c>
    </row>
    <row r="171" spans="1:6" x14ac:dyDescent="0.35">
      <c r="A171" s="195" t="s">
        <v>3485</v>
      </c>
      <c r="B171" s="195">
        <v>22</v>
      </c>
      <c r="C171" s="195" t="s">
        <v>3639</v>
      </c>
      <c r="D171" s="195" t="s">
        <v>3585</v>
      </c>
      <c r="E171" s="195" t="s">
        <v>3580</v>
      </c>
      <c r="F171" s="195" t="s">
        <v>3586</v>
      </c>
    </row>
    <row r="172" spans="1:6" x14ac:dyDescent="0.35">
      <c r="A172" s="195" t="s">
        <v>3486</v>
      </c>
      <c r="B172" s="64">
        <v>54222</v>
      </c>
      <c r="C172" s="195" t="s">
        <v>3640</v>
      </c>
      <c r="D172" s="195" t="s">
        <v>3585</v>
      </c>
      <c r="E172" s="195" t="s">
        <v>3580</v>
      </c>
      <c r="F172" s="195" t="s">
        <v>3586</v>
      </c>
    </row>
    <row r="173" spans="1:6" x14ac:dyDescent="0.35">
      <c r="A173" s="195" t="s">
        <v>3487</v>
      </c>
      <c r="B173" s="64">
        <v>49142</v>
      </c>
      <c r="C173" s="195" t="s">
        <v>3641</v>
      </c>
      <c r="D173" s="195" t="s">
        <v>3585</v>
      </c>
      <c r="E173" s="195" t="s">
        <v>3580</v>
      </c>
      <c r="F173" s="195" t="s">
        <v>3586</v>
      </c>
    </row>
    <row r="174" spans="1:6" x14ac:dyDescent="0.35">
      <c r="A174" s="195" t="s">
        <v>3488</v>
      </c>
      <c r="B174" s="64">
        <v>5080</v>
      </c>
      <c r="C174" s="195" t="s">
        <v>3642</v>
      </c>
      <c r="D174" s="195" t="s">
        <v>3585</v>
      </c>
      <c r="E174" s="195" t="s">
        <v>3580</v>
      </c>
      <c r="F174" s="195" t="s">
        <v>3586</v>
      </c>
    </row>
    <row r="175" spans="1:6" x14ac:dyDescent="0.35">
      <c r="A175" s="195" t="s">
        <v>3489</v>
      </c>
      <c r="B175" s="64">
        <v>21074</v>
      </c>
      <c r="C175" s="195" t="s">
        <v>3643</v>
      </c>
      <c r="D175" s="195" t="s">
        <v>3585</v>
      </c>
      <c r="E175" s="195" t="s">
        <v>3580</v>
      </c>
      <c r="F175" s="195" t="s">
        <v>3586</v>
      </c>
    </row>
    <row r="176" spans="1:6" x14ac:dyDescent="0.35">
      <c r="A176" s="195" t="s">
        <v>3490</v>
      </c>
      <c r="B176" s="64">
        <v>27304</v>
      </c>
      <c r="C176" s="195" t="s">
        <v>3644</v>
      </c>
      <c r="D176" s="195" t="s">
        <v>3585</v>
      </c>
      <c r="E176" s="195" t="s">
        <v>3580</v>
      </c>
      <c r="F176" s="195" t="s">
        <v>3586</v>
      </c>
    </row>
    <row r="177" spans="1:6" x14ac:dyDescent="0.35">
      <c r="A177" s="195" t="s">
        <v>3491</v>
      </c>
      <c r="B177" s="64">
        <v>17328</v>
      </c>
      <c r="C177" s="195" t="s">
        <v>3645</v>
      </c>
      <c r="D177" s="195" t="s">
        <v>3585</v>
      </c>
      <c r="E177" s="195" t="s">
        <v>3580</v>
      </c>
      <c r="F177" s="195" t="s">
        <v>3586</v>
      </c>
    </row>
    <row r="178" spans="1:6" x14ac:dyDescent="0.35">
      <c r="A178" s="195" t="s">
        <v>3492</v>
      </c>
      <c r="B178" s="195">
        <v>0</v>
      </c>
      <c r="C178" s="195" t="s">
        <v>3646</v>
      </c>
      <c r="D178" s="195" t="s">
        <v>3585</v>
      </c>
      <c r="E178" s="195" t="s">
        <v>3580</v>
      </c>
      <c r="F178" s="195" t="s">
        <v>3586</v>
      </c>
    </row>
    <row r="179" spans="1:6" x14ac:dyDescent="0.35">
      <c r="A179" s="195" t="s">
        <v>3493</v>
      </c>
      <c r="B179" s="64">
        <v>17328</v>
      </c>
      <c r="C179" s="195" t="s">
        <v>3647</v>
      </c>
      <c r="D179" s="195" t="s">
        <v>3585</v>
      </c>
      <c r="E179" s="195" t="s">
        <v>3580</v>
      </c>
      <c r="F179" s="195" t="s">
        <v>3586</v>
      </c>
    </row>
    <row r="180" spans="1:6" x14ac:dyDescent="0.35">
      <c r="A180" s="195" t="s">
        <v>3494</v>
      </c>
      <c r="B180" s="64">
        <v>15700</v>
      </c>
      <c r="C180" s="195" t="s">
        <v>3648</v>
      </c>
      <c r="D180" s="195" t="s">
        <v>3585</v>
      </c>
      <c r="E180" s="195" t="s">
        <v>3580</v>
      </c>
      <c r="F180" s="195" t="s">
        <v>3586</v>
      </c>
    </row>
    <row r="181" spans="1:6" x14ac:dyDescent="0.35">
      <c r="A181" s="195" t="s">
        <v>3495</v>
      </c>
      <c r="B181" s="64">
        <v>1628</v>
      </c>
      <c r="C181" s="195" t="s">
        <v>3649</v>
      </c>
      <c r="D181" s="195" t="s">
        <v>3585</v>
      </c>
      <c r="E181" s="195" t="s">
        <v>3580</v>
      </c>
      <c r="F181" s="195" t="s">
        <v>3586</v>
      </c>
    </row>
    <row r="182" spans="1:6" x14ac:dyDescent="0.35">
      <c r="A182" s="195" t="s">
        <v>3496</v>
      </c>
      <c r="B182" s="64">
        <v>9976</v>
      </c>
      <c r="C182" s="195" t="s">
        <v>3650</v>
      </c>
      <c r="D182" s="195" t="s">
        <v>3585</v>
      </c>
      <c r="E182" s="195" t="s">
        <v>3580</v>
      </c>
      <c r="F182" s="195" t="s">
        <v>3586</v>
      </c>
    </row>
    <row r="183" spans="1:6" x14ac:dyDescent="0.35">
      <c r="A183" s="195" t="s">
        <v>3497</v>
      </c>
      <c r="B183" s="64">
        <v>36166</v>
      </c>
      <c r="C183" s="195" t="s">
        <v>3651</v>
      </c>
      <c r="D183" s="195" t="s">
        <v>3585</v>
      </c>
      <c r="E183" s="195" t="s">
        <v>3580</v>
      </c>
      <c r="F183" s="195" t="s">
        <v>3586</v>
      </c>
    </row>
    <row r="184" spans="1:6" x14ac:dyDescent="0.35">
      <c r="A184" s="195" t="s">
        <v>3498</v>
      </c>
      <c r="B184" s="64">
        <v>18216</v>
      </c>
      <c r="C184" s="195" t="s">
        <v>3652</v>
      </c>
      <c r="D184" s="195" t="s">
        <v>3585</v>
      </c>
      <c r="E184" s="195" t="s">
        <v>3580</v>
      </c>
      <c r="F184" s="195" t="s">
        <v>3586</v>
      </c>
    </row>
    <row r="185" spans="1:6" x14ac:dyDescent="0.35">
      <c r="A185" s="195" t="s">
        <v>3499</v>
      </c>
      <c r="B185" s="195">
        <v>0</v>
      </c>
      <c r="C185" s="195" t="s">
        <v>3653</v>
      </c>
      <c r="D185" s="195" t="s">
        <v>3585</v>
      </c>
      <c r="E185" s="195" t="s">
        <v>3580</v>
      </c>
      <c r="F185" s="195" t="s">
        <v>3586</v>
      </c>
    </row>
    <row r="186" spans="1:6" x14ac:dyDescent="0.35">
      <c r="A186" s="195" t="s">
        <v>3500</v>
      </c>
      <c r="B186" s="64">
        <v>18216</v>
      </c>
      <c r="C186" s="195" t="s">
        <v>3654</v>
      </c>
      <c r="D186" s="195" t="s">
        <v>3585</v>
      </c>
      <c r="E186" s="195" t="s">
        <v>3580</v>
      </c>
      <c r="F186" s="195" t="s">
        <v>3586</v>
      </c>
    </row>
    <row r="187" spans="1:6" x14ac:dyDescent="0.35">
      <c r="A187" s="195" t="s">
        <v>3501</v>
      </c>
      <c r="B187" s="64">
        <v>17086</v>
      </c>
      <c r="C187" s="195" t="s">
        <v>3655</v>
      </c>
      <c r="D187" s="195" t="s">
        <v>3585</v>
      </c>
      <c r="E187" s="195" t="s">
        <v>3580</v>
      </c>
      <c r="F187" s="195" t="s">
        <v>3586</v>
      </c>
    </row>
    <row r="188" spans="1:6" x14ac:dyDescent="0.35">
      <c r="A188" s="195" t="s">
        <v>3502</v>
      </c>
      <c r="B188" s="64">
        <v>1130</v>
      </c>
      <c r="C188" s="195" t="s">
        <v>3656</v>
      </c>
      <c r="D188" s="195" t="s">
        <v>3585</v>
      </c>
      <c r="E188" s="195" t="s">
        <v>3580</v>
      </c>
      <c r="F188" s="195" t="s">
        <v>3586</v>
      </c>
    </row>
    <row r="189" spans="1:6" x14ac:dyDescent="0.35">
      <c r="A189" s="195" t="s">
        <v>3503</v>
      </c>
      <c r="B189" s="64">
        <v>17950</v>
      </c>
      <c r="C189" s="195" t="s">
        <v>3657</v>
      </c>
      <c r="D189" s="195" t="s">
        <v>3585</v>
      </c>
      <c r="E189" s="195" t="s">
        <v>3580</v>
      </c>
      <c r="F189" s="195" t="s">
        <v>3586</v>
      </c>
    </row>
    <row r="190" spans="1:6" x14ac:dyDescent="0.35">
      <c r="A190" s="195" t="s">
        <v>3504</v>
      </c>
      <c r="B190" s="64">
        <v>1141501</v>
      </c>
      <c r="C190" s="195" t="s">
        <v>3658</v>
      </c>
      <c r="D190" s="195" t="s">
        <v>3585</v>
      </c>
      <c r="E190" s="195" t="s">
        <v>3580</v>
      </c>
      <c r="F190" s="195" t="s">
        <v>3586</v>
      </c>
    </row>
    <row r="191" spans="1:6" x14ac:dyDescent="0.35">
      <c r="A191" s="195" t="s">
        <v>3505</v>
      </c>
      <c r="B191" s="64">
        <v>67431</v>
      </c>
      <c r="C191" s="195" t="s">
        <v>3659</v>
      </c>
      <c r="D191" s="195" t="s">
        <v>3585</v>
      </c>
      <c r="E191" s="195" t="s">
        <v>3580</v>
      </c>
      <c r="F191" s="195" t="s">
        <v>3586</v>
      </c>
    </row>
    <row r="192" spans="1:6" x14ac:dyDescent="0.35">
      <c r="A192" s="195" t="s">
        <v>3506</v>
      </c>
      <c r="B192" s="64">
        <v>21170</v>
      </c>
      <c r="C192" s="195" t="s">
        <v>3660</v>
      </c>
      <c r="D192" s="195" t="s">
        <v>3585</v>
      </c>
      <c r="E192" s="195" t="s">
        <v>3580</v>
      </c>
      <c r="F192" s="195" t="s">
        <v>3586</v>
      </c>
    </row>
    <row r="193" spans="1:6" x14ac:dyDescent="0.35">
      <c r="A193" s="195" t="s">
        <v>3507</v>
      </c>
      <c r="B193" s="195">
        <v>0</v>
      </c>
      <c r="C193" s="195" t="s">
        <v>3661</v>
      </c>
      <c r="D193" s="195" t="s">
        <v>3585</v>
      </c>
      <c r="E193" s="195" t="s">
        <v>3580</v>
      </c>
      <c r="F193" s="195" t="s">
        <v>3586</v>
      </c>
    </row>
    <row r="194" spans="1:6" x14ac:dyDescent="0.35">
      <c r="A194" s="195" t="s">
        <v>3508</v>
      </c>
      <c r="B194" s="64">
        <v>21170</v>
      </c>
      <c r="C194" s="195" t="s">
        <v>3662</v>
      </c>
      <c r="D194" s="195" t="s">
        <v>3585</v>
      </c>
      <c r="E194" s="195" t="s">
        <v>3580</v>
      </c>
      <c r="F194" s="195" t="s">
        <v>3586</v>
      </c>
    </row>
    <row r="195" spans="1:6" x14ac:dyDescent="0.35">
      <c r="A195" s="195" t="s">
        <v>3509</v>
      </c>
      <c r="B195" s="64">
        <v>12920</v>
      </c>
      <c r="C195" s="195" t="s">
        <v>3663</v>
      </c>
      <c r="D195" s="195" t="s">
        <v>3585</v>
      </c>
      <c r="E195" s="195" t="s">
        <v>3580</v>
      </c>
      <c r="F195" s="195" t="s">
        <v>3586</v>
      </c>
    </row>
    <row r="196" spans="1:6" x14ac:dyDescent="0.35">
      <c r="A196" s="195" t="s">
        <v>3510</v>
      </c>
      <c r="B196" s="64">
        <v>8250</v>
      </c>
      <c r="C196" s="195" t="s">
        <v>3664</v>
      </c>
      <c r="D196" s="195" t="s">
        <v>3585</v>
      </c>
      <c r="E196" s="195" t="s">
        <v>3580</v>
      </c>
      <c r="F196" s="195" t="s">
        <v>3586</v>
      </c>
    </row>
    <row r="197" spans="1:6" x14ac:dyDescent="0.35">
      <c r="A197" s="195" t="s">
        <v>3511</v>
      </c>
      <c r="B197" s="64">
        <v>46261</v>
      </c>
      <c r="C197" s="195" t="s">
        <v>3665</v>
      </c>
      <c r="D197" s="195" t="s">
        <v>3585</v>
      </c>
      <c r="E197" s="195" t="s">
        <v>3580</v>
      </c>
      <c r="F197" s="195" t="s">
        <v>3586</v>
      </c>
    </row>
    <row r="198" spans="1:6" x14ac:dyDescent="0.35">
      <c r="A198" s="195" t="s">
        <v>3512</v>
      </c>
      <c r="B198" s="64">
        <v>39204</v>
      </c>
      <c r="C198" s="195" t="s">
        <v>3666</v>
      </c>
      <c r="D198" s="195" t="s">
        <v>3585</v>
      </c>
      <c r="E198" s="195" t="s">
        <v>3580</v>
      </c>
      <c r="F198" s="195" t="s">
        <v>3586</v>
      </c>
    </row>
    <row r="199" spans="1:6" x14ac:dyDescent="0.35">
      <c r="A199" s="195" t="s">
        <v>3513</v>
      </c>
      <c r="B199" s="64">
        <v>25904</v>
      </c>
      <c r="C199" s="195" t="s">
        <v>3667</v>
      </c>
      <c r="D199" s="195" t="s">
        <v>3585</v>
      </c>
      <c r="E199" s="195" t="s">
        <v>3580</v>
      </c>
      <c r="F199" s="195" t="s">
        <v>3586</v>
      </c>
    </row>
    <row r="200" spans="1:6" x14ac:dyDescent="0.35">
      <c r="A200" s="195" t="s">
        <v>3514</v>
      </c>
      <c r="B200" s="195">
        <v>0</v>
      </c>
      <c r="C200" s="195" t="s">
        <v>3668</v>
      </c>
      <c r="D200" s="195" t="s">
        <v>3585</v>
      </c>
      <c r="E200" s="195" t="s">
        <v>3580</v>
      </c>
      <c r="F200" s="195" t="s">
        <v>3586</v>
      </c>
    </row>
    <row r="201" spans="1:6" x14ac:dyDescent="0.35">
      <c r="A201" s="195" t="s">
        <v>3515</v>
      </c>
      <c r="B201" s="64">
        <v>25904</v>
      </c>
      <c r="C201" s="195" t="s">
        <v>3669</v>
      </c>
      <c r="D201" s="195" t="s">
        <v>3585</v>
      </c>
      <c r="E201" s="195" t="s">
        <v>3580</v>
      </c>
      <c r="F201" s="195" t="s">
        <v>3586</v>
      </c>
    </row>
    <row r="202" spans="1:6" x14ac:dyDescent="0.35">
      <c r="A202" s="195" t="s">
        <v>3516</v>
      </c>
      <c r="B202" s="64">
        <v>20309</v>
      </c>
      <c r="C202" s="195" t="s">
        <v>3670</v>
      </c>
      <c r="D202" s="195" t="s">
        <v>3585</v>
      </c>
      <c r="E202" s="195" t="s">
        <v>3580</v>
      </c>
      <c r="F202" s="195" t="s">
        <v>3586</v>
      </c>
    </row>
    <row r="203" spans="1:6" x14ac:dyDescent="0.35">
      <c r="A203" s="195" t="s">
        <v>3517</v>
      </c>
      <c r="B203" s="64">
        <v>5595</v>
      </c>
      <c r="C203" s="195" t="s">
        <v>3671</v>
      </c>
      <c r="D203" s="195" t="s">
        <v>3585</v>
      </c>
      <c r="E203" s="195" t="s">
        <v>3580</v>
      </c>
      <c r="F203" s="195" t="s">
        <v>3586</v>
      </c>
    </row>
    <row r="204" spans="1:6" x14ac:dyDescent="0.35">
      <c r="A204" s="195" t="s">
        <v>3518</v>
      </c>
      <c r="B204" s="64">
        <v>13300</v>
      </c>
      <c r="C204" s="195" t="s">
        <v>3672</v>
      </c>
      <c r="D204" s="195" t="s">
        <v>3585</v>
      </c>
      <c r="E204" s="195" t="s">
        <v>3580</v>
      </c>
      <c r="F204" s="195" t="s">
        <v>3586</v>
      </c>
    </row>
    <row r="205" spans="1:6" x14ac:dyDescent="0.35">
      <c r="A205" s="195" t="s">
        <v>3519</v>
      </c>
      <c r="B205" s="64">
        <v>69120</v>
      </c>
      <c r="C205" s="195" t="s">
        <v>3673</v>
      </c>
      <c r="D205" s="195" t="s">
        <v>3585</v>
      </c>
      <c r="E205" s="195" t="s">
        <v>3580</v>
      </c>
      <c r="F205" s="195" t="s">
        <v>3586</v>
      </c>
    </row>
    <row r="206" spans="1:6" x14ac:dyDescent="0.35">
      <c r="A206" s="195" t="s">
        <v>3520</v>
      </c>
      <c r="B206" s="64">
        <v>52362</v>
      </c>
      <c r="C206" s="195" t="s">
        <v>3674</v>
      </c>
      <c r="D206" s="195" t="s">
        <v>3585</v>
      </c>
      <c r="E206" s="195" t="s">
        <v>3580</v>
      </c>
      <c r="F206" s="195" t="s">
        <v>3586</v>
      </c>
    </row>
    <row r="207" spans="1:6" x14ac:dyDescent="0.35">
      <c r="A207" s="195" t="s">
        <v>3521</v>
      </c>
      <c r="B207" s="195">
        <v>52</v>
      </c>
      <c r="C207" s="195" t="s">
        <v>3675</v>
      </c>
      <c r="D207" s="195" t="s">
        <v>3585</v>
      </c>
      <c r="E207" s="195" t="s">
        <v>3580</v>
      </c>
      <c r="F207" s="195" t="s">
        <v>3586</v>
      </c>
    </row>
    <row r="208" spans="1:6" x14ac:dyDescent="0.35">
      <c r="A208" s="195" t="s">
        <v>3522</v>
      </c>
      <c r="B208" s="64">
        <v>52310</v>
      </c>
      <c r="C208" s="195" t="s">
        <v>3676</v>
      </c>
      <c r="D208" s="195" t="s">
        <v>3585</v>
      </c>
      <c r="E208" s="195" t="s">
        <v>3580</v>
      </c>
      <c r="F208" s="195" t="s">
        <v>3586</v>
      </c>
    </row>
    <row r="209" spans="1:6" x14ac:dyDescent="0.35">
      <c r="A209" s="195" t="s">
        <v>3523</v>
      </c>
      <c r="B209" s="64">
        <v>44315</v>
      </c>
      <c r="C209" s="195" t="s">
        <v>3677</v>
      </c>
      <c r="D209" s="195" t="s">
        <v>3585</v>
      </c>
      <c r="E209" s="195" t="s">
        <v>3580</v>
      </c>
      <c r="F209" s="195" t="s">
        <v>3586</v>
      </c>
    </row>
    <row r="210" spans="1:6" x14ac:dyDescent="0.35">
      <c r="A210" s="195" t="s">
        <v>3524</v>
      </c>
      <c r="B210" s="64">
        <v>7995</v>
      </c>
      <c r="C210" s="195" t="s">
        <v>3678</v>
      </c>
      <c r="D210" s="195" t="s">
        <v>3585</v>
      </c>
      <c r="E210" s="195" t="s">
        <v>3580</v>
      </c>
      <c r="F210" s="195" t="s">
        <v>3586</v>
      </c>
    </row>
    <row r="211" spans="1:6" x14ac:dyDescent="0.35">
      <c r="A211" s="195" t="s">
        <v>3525</v>
      </c>
      <c r="B211" s="64">
        <v>16758</v>
      </c>
      <c r="C211" s="195" t="s">
        <v>3679</v>
      </c>
      <c r="D211" s="195" t="s">
        <v>3585</v>
      </c>
      <c r="E211" s="195" t="s">
        <v>3580</v>
      </c>
      <c r="F211" s="195" t="s">
        <v>3586</v>
      </c>
    </row>
    <row r="212" spans="1:6" x14ac:dyDescent="0.35">
      <c r="A212" s="195" t="s">
        <v>3526</v>
      </c>
      <c r="B212" s="64">
        <v>142862</v>
      </c>
      <c r="C212" s="195" t="s">
        <v>3680</v>
      </c>
      <c r="D212" s="195" t="s">
        <v>3585</v>
      </c>
      <c r="E212" s="195" t="s">
        <v>3580</v>
      </c>
      <c r="F212" s="195" t="s">
        <v>3586</v>
      </c>
    </row>
    <row r="213" spans="1:6" x14ac:dyDescent="0.35">
      <c r="A213" s="195" t="s">
        <v>3527</v>
      </c>
      <c r="B213" s="64">
        <v>118703</v>
      </c>
      <c r="C213" s="195" t="s">
        <v>3681</v>
      </c>
      <c r="D213" s="195" t="s">
        <v>3585</v>
      </c>
      <c r="E213" s="195" t="s">
        <v>3580</v>
      </c>
      <c r="F213" s="195" t="s">
        <v>3586</v>
      </c>
    </row>
    <row r="214" spans="1:6" x14ac:dyDescent="0.35">
      <c r="A214" s="195" t="s">
        <v>3528</v>
      </c>
      <c r="B214" s="195">
        <v>79</v>
      </c>
      <c r="C214" s="195" t="s">
        <v>3682</v>
      </c>
      <c r="D214" s="195" t="s">
        <v>3585</v>
      </c>
      <c r="E214" s="195" t="s">
        <v>3580</v>
      </c>
      <c r="F214" s="195" t="s">
        <v>3586</v>
      </c>
    </row>
    <row r="215" spans="1:6" x14ac:dyDescent="0.35">
      <c r="A215" s="195" t="s">
        <v>3529</v>
      </c>
      <c r="B215" s="64">
        <v>118624</v>
      </c>
      <c r="C215" s="195" t="s">
        <v>3683</v>
      </c>
      <c r="D215" s="195" t="s">
        <v>3585</v>
      </c>
      <c r="E215" s="195" t="s">
        <v>3580</v>
      </c>
      <c r="F215" s="195" t="s">
        <v>3586</v>
      </c>
    </row>
    <row r="216" spans="1:6" x14ac:dyDescent="0.35">
      <c r="A216" s="195" t="s">
        <v>3530</v>
      </c>
      <c r="B216" s="64">
        <v>108778</v>
      </c>
      <c r="C216" s="195" t="s">
        <v>3684</v>
      </c>
      <c r="D216" s="195" t="s">
        <v>3585</v>
      </c>
      <c r="E216" s="195" t="s">
        <v>3580</v>
      </c>
      <c r="F216" s="195" t="s">
        <v>3586</v>
      </c>
    </row>
    <row r="217" spans="1:6" x14ac:dyDescent="0.35">
      <c r="A217" s="195" t="s">
        <v>3531</v>
      </c>
      <c r="B217" s="64">
        <v>9846</v>
      </c>
      <c r="C217" s="195" t="s">
        <v>3685</v>
      </c>
      <c r="D217" s="195" t="s">
        <v>3585</v>
      </c>
      <c r="E217" s="195" t="s">
        <v>3580</v>
      </c>
      <c r="F217" s="195" t="s">
        <v>3586</v>
      </c>
    </row>
    <row r="218" spans="1:6" x14ac:dyDescent="0.35">
      <c r="A218" s="195" t="s">
        <v>3532</v>
      </c>
      <c r="B218" s="64">
        <v>24159</v>
      </c>
      <c r="C218" s="195" t="s">
        <v>3686</v>
      </c>
      <c r="D218" s="195" t="s">
        <v>3585</v>
      </c>
      <c r="E218" s="195" t="s">
        <v>3580</v>
      </c>
      <c r="F218" s="195" t="s">
        <v>3586</v>
      </c>
    </row>
    <row r="219" spans="1:6" x14ac:dyDescent="0.35">
      <c r="A219" s="195" t="s">
        <v>3533</v>
      </c>
      <c r="B219" s="64">
        <v>128053</v>
      </c>
      <c r="C219" s="195" t="s">
        <v>3687</v>
      </c>
      <c r="D219" s="195" t="s">
        <v>3585</v>
      </c>
      <c r="E219" s="195" t="s">
        <v>3580</v>
      </c>
      <c r="F219" s="195" t="s">
        <v>3586</v>
      </c>
    </row>
    <row r="220" spans="1:6" x14ac:dyDescent="0.35">
      <c r="A220" s="195" t="s">
        <v>3534</v>
      </c>
      <c r="B220" s="64">
        <v>104776</v>
      </c>
      <c r="C220" s="195" t="s">
        <v>3688</v>
      </c>
      <c r="D220" s="195" t="s">
        <v>3585</v>
      </c>
      <c r="E220" s="195" t="s">
        <v>3580</v>
      </c>
      <c r="F220" s="195" t="s">
        <v>3586</v>
      </c>
    </row>
    <row r="221" spans="1:6" x14ac:dyDescent="0.35">
      <c r="A221" s="195" t="s">
        <v>3535</v>
      </c>
      <c r="B221" s="195">
        <v>0</v>
      </c>
      <c r="C221" s="195" t="s">
        <v>3689</v>
      </c>
      <c r="D221" s="195" t="s">
        <v>3585</v>
      </c>
      <c r="E221" s="195" t="s">
        <v>3580</v>
      </c>
      <c r="F221" s="195" t="s">
        <v>3586</v>
      </c>
    </row>
    <row r="222" spans="1:6" x14ac:dyDescent="0.35">
      <c r="A222" s="195" t="s">
        <v>3536</v>
      </c>
      <c r="B222" s="64">
        <v>104776</v>
      </c>
      <c r="C222" s="195" t="s">
        <v>3690</v>
      </c>
      <c r="D222" s="195" t="s">
        <v>3585</v>
      </c>
      <c r="E222" s="195" t="s">
        <v>3580</v>
      </c>
      <c r="F222" s="195" t="s">
        <v>3586</v>
      </c>
    </row>
    <row r="223" spans="1:6" x14ac:dyDescent="0.35">
      <c r="A223" s="195" t="s">
        <v>3537</v>
      </c>
      <c r="B223" s="64">
        <v>96340</v>
      </c>
      <c r="C223" s="195" t="s">
        <v>3691</v>
      </c>
      <c r="D223" s="195" t="s">
        <v>3585</v>
      </c>
      <c r="E223" s="195" t="s">
        <v>3580</v>
      </c>
      <c r="F223" s="195" t="s">
        <v>3586</v>
      </c>
    </row>
    <row r="224" spans="1:6" x14ac:dyDescent="0.35">
      <c r="A224" s="195" t="s">
        <v>3538</v>
      </c>
      <c r="B224" s="64">
        <v>8436</v>
      </c>
      <c r="C224" s="195" t="s">
        <v>3692</v>
      </c>
      <c r="D224" s="195" t="s">
        <v>3585</v>
      </c>
      <c r="E224" s="195" t="s">
        <v>3580</v>
      </c>
      <c r="F224" s="195" t="s">
        <v>3586</v>
      </c>
    </row>
    <row r="225" spans="1:6" x14ac:dyDescent="0.35">
      <c r="A225" s="195" t="s">
        <v>3539</v>
      </c>
      <c r="B225" s="64">
        <v>23277</v>
      </c>
      <c r="C225" s="195" t="s">
        <v>3693</v>
      </c>
      <c r="D225" s="195" t="s">
        <v>3585</v>
      </c>
      <c r="E225" s="195" t="s">
        <v>3580</v>
      </c>
      <c r="F225" s="195" t="s">
        <v>3586</v>
      </c>
    </row>
    <row r="226" spans="1:6" x14ac:dyDescent="0.35">
      <c r="A226" s="195" t="s">
        <v>3540</v>
      </c>
      <c r="B226" s="64">
        <v>189339</v>
      </c>
      <c r="C226" s="195" t="s">
        <v>3694</v>
      </c>
      <c r="D226" s="195" t="s">
        <v>3585</v>
      </c>
      <c r="E226" s="195" t="s">
        <v>3580</v>
      </c>
      <c r="F226" s="195" t="s">
        <v>3586</v>
      </c>
    </row>
    <row r="227" spans="1:6" x14ac:dyDescent="0.35">
      <c r="A227" s="195" t="s">
        <v>3541</v>
      </c>
      <c r="B227" s="64">
        <v>147621</v>
      </c>
      <c r="C227" s="195" t="s">
        <v>3695</v>
      </c>
      <c r="D227" s="195" t="s">
        <v>3585</v>
      </c>
      <c r="E227" s="195" t="s">
        <v>3580</v>
      </c>
      <c r="F227" s="195" t="s">
        <v>3586</v>
      </c>
    </row>
    <row r="228" spans="1:6" x14ac:dyDescent="0.35">
      <c r="A228" s="195" t="s">
        <v>3542</v>
      </c>
      <c r="B228" s="195">
        <v>54</v>
      </c>
      <c r="C228" s="195" t="s">
        <v>3696</v>
      </c>
      <c r="D228" s="195" t="s">
        <v>3585</v>
      </c>
      <c r="E228" s="195" t="s">
        <v>3580</v>
      </c>
      <c r="F228" s="195" t="s">
        <v>3586</v>
      </c>
    </row>
    <row r="229" spans="1:6" x14ac:dyDescent="0.35">
      <c r="A229" s="195" t="s">
        <v>3543</v>
      </c>
      <c r="B229" s="64">
        <v>147567</v>
      </c>
      <c r="C229" s="195" t="s">
        <v>3697</v>
      </c>
      <c r="D229" s="195" t="s">
        <v>3585</v>
      </c>
      <c r="E229" s="195" t="s">
        <v>3580</v>
      </c>
      <c r="F229" s="195" t="s">
        <v>3586</v>
      </c>
    </row>
    <row r="230" spans="1:6" x14ac:dyDescent="0.35">
      <c r="A230" s="195" t="s">
        <v>3544</v>
      </c>
      <c r="B230" s="64">
        <v>135217</v>
      </c>
      <c r="C230" s="195" t="s">
        <v>3698</v>
      </c>
      <c r="D230" s="195" t="s">
        <v>3585</v>
      </c>
      <c r="E230" s="195" t="s">
        <v>3580</v>
      </c>
      <c r="F230" s="195" t="s">
        <v>3586</v>
      </c>
    </row>
    <row r="231" spans="1:6" x14ac:dyDescent="0.35">
      <c r="A231" s="195" t="s">
        <v>3545</v>
      </c>
      <c r="B231" s="64">
        <v>12350</v>
      </c>
      <c r="C231" s="195" t="s">
        <v>3699</v>
      </c>
      <c r="D231" s="195" t="s">
        <v>3585</v>
      </c>
      <c r="E231" s="195" t="s">
        <v>3580</v>
      </c>
      <c r="F231" s="195" t="s">
        <v>3586</v>
      </c>
    </row>
    <row r="232" spans="1:6" x14ac:dyDescent="0.35">
      <c r="A232" s="195" t="s">
        <v>3546</v>
      </c>
      <c r="B232" s="64">
        <v>41718</v>
      </c>
      <c r="C232" s="195" t="s">
        <v>3700</v>
      </c>
      <c r="D232" s="195" t="s">
        <v>3585</v>
      </c>
      <c r="E232" s="195" t="s">
        <v>3580</v>
      </c>
      <c r="F232" s="195" t="s">
        <v>3586</v>
      </c>
    </row>
    <row r="233" spans="1:6" x14ac:dyDescent="0.35">
      <c r="A233" s="195" t="s">
        <v>3547</v>
      </c>
      <c r="B233" s="64">
        <v>165816</v>
      </c>
      <c r="C233" s="195" t="s">
        <v>3701</v>
      </c>
      <c r="D233" s="195" t="s">
        <v>3585</v>
      </c>
      <c r="E233" s="195" t="s">
        <v>3580</v>
      </c>
      <c r="F233" s="195" t="s">
        <v>3586</v>
      </c>
    </row>
    <row r="234" spans="1:6" x14ac:dyDescent="0.35">
      <c r="A234" s="195" t="s">
        <v>3548</v>
      </c>
      <c r="B234" s="64">
        <v>123375</v>
      </c>
      <c r="C234" s="195" t="s">
        <v>3702</v>
      </c>
      <c r="D234" s="195" t="s">
        <v>3585</v>
      </c>
      <c r="E234" s="195" t="s">
        <v>3580</v>
      </c>
      <c r="F234" s="195" t="s">
        <v>3586</v>
      </c>
    </row>
    <row r="235" spans="1:6" x14ac:dyDescent="0.35">
      <c r="A235" s="195" t="s">
        <v>3549</v>
      </c>
      <c r="B235" s="195">
        <v>0</v>
      </c>
      <c r="C235" s="195" t="s">
        <v>3703</v>
      </c>
      <c r="D235" s="195" t="s">
        <v>3585</v>
      </c>
      <c r="E235" s="195" t="s">
        <v>3580</v>
      </c>
      <c r="F235" s="195" t="s">
        <v>3586</v>
      </c>
    </row>
    <row r="236" spans="1:6" x14ac:dyDescent="0.35">
      <c r="A236" s="195" t="s">
        <v>3550</v>
      </c>
      <c r="B236" s="64">
        <v>123375</v>
      </c>
      <c r="C236" s="195" t="s">
        <v>3704</v>
      </c>
      <c r="D236" s="195" t="s">
        <v>3585</v>
      </c>
      <c r="E236" s="195" t="s">
        <v>3580</v>
      </c>
      <c r="F236" s="195" t="s">
        <v>3586</v>
      </c>
    </row>
    <row r="237" spans="1:6" x14ac:dyDescent="0.35">
      <c r="A237" s="195" t="s">
        <v>3551</v>
      </c>
      <c r="B237" s="64">
        <v>113530</v>
      </c>
      <c r="C237" s="195" t="s">
        <v>3705</v>
      </c>
      <c r="D237" s="195" t="s">
        <v>3585</v>
      </c>
      <c r="E237" s="195" t="s">
        <v>3580</v>
      </c>
      <c r="F237" s="195" t="s">
        <v>3586</v>
      </c>
    </row>
    <row r="238" spans="1:6" x14ac:dyDescent="0.35">
      <c r="A238" s="195" t="s">
        <v>3552</v>
      </c>
      <c r="B238" s="64">
        <v>9845</v>
      </c>
      <c r="C238" s="195" t="s">
        <v>3706</v>
      </c>
      <c r="D238" s="195" t="s">
        <v>3585</v>
      </c>
      <c r="E238" s="195" t="s">
        <v>3580</v>
      </c>
      <c r="F238" s="195" t="s">
        <v>3586</v>
      </c>
    </row>
    <row r="239" spans="1:6" x14ac:dyDescent="0.35">
      <c r="A239" s="195" t="s">
        <v>3553</v>
      </c>
      <c r="B239" s="64">
        <v>42441</v>
      </c>
      <c r="C239" s="195" t="s">
        <v>3707</v>
      </c>
      <c r="D239" s="195" t="s">
        <v>3585</v>
      </c>
      <c r="E239" s="195" t="s">
        <v>3580</v>
      </c>
      <c r="F239" s="195" t="s">
        <v>3586</v>
      </c>
    </row>
    <row r="240" spans="1:6" x14ac:dyDescent="0.35">
      <c r="A240" s="195" t="s">
        <v>3554</v>
      </c>
      <c r="B240" s="64">
        <v>81209</v>
      </c>
      <c r="C240" s="195" t="s">
        <v>3708</v>
      </c>
      <c r="D240" s="195" t="s">
        <v>3585</v>
      </c>
      <c r="E240" s="195" t="s">
        <v>3580</v>
      </c>
      <c r="F240" s="195" t="s">
        <v>3586</v>
      </c>
    </row>
    <row r="241" spans="1:6" x14ac:dyDescent="0.35">
      <c r="A241" s="195" t="s">
        <v>3555</v>
      </c>
      <c r="B241" s="64">
        <v>53203</v>
      </c>
      <c r="C241" s="195" t="s">
        <v>3709</v>
      </c>
      <c r="D241" s="195" t="s">
        <v>3585</v>
      </c>
      <c r="E241" s="195" t="s">
        <v>3580</v>
      </c>
      <c r="F241" s="195" t="s">
        <v>3586</v>
      </c>
    </row>
    <row r="242" spans="1:6" x14ac:dyDescent="0.35">
      <c r="A242" s="195" t="s">
        <v>3556</v>
      </c>
      <c r="B242" s="195">
        <v>0</v>
      </c>
      <c r="C242" s="195" t="s">
        <v>3710</v>
      </c>
      <c r="D242" s="195" t="s">
        <v>3585</v>
      </c>
      <c r="E242" s="195" t="s">
        <v>3580</v>
      </c>
      <c r="F242" s="195" t="s">
        <v>3586</v>
      </c>
    </row>
    <row r="243" spans="1:6" x14ac:dyDescent="0.35">
      <c r="A243" s="195" t="s">
        <v>3557</v>
      </c>
      <c r="B243" s="64">
        <v>53203</v>
      </c>
      <c r="C243" s="195" t="s">
        <v>3711</v>
      </c>
      <c r="D243" s="195" t="s">
        <v>3585</v>
      </c>
      <c r="E243" s="195" t="s">
        <v>3580</v>
      </c>
      <c r="F243" s="195" t="s">
        <v>3586</v>
      </c>
    </row>
    <row r="244" spans="1:6" x14ac:dyDescent="0.35">
      <c r="A244" s="195" t="s">
        <v>3558</v>
      </c>
      <c r="B244" s="64">
        <v>48555</v>
      </c>
      <c r="C244" s="195" t="s">
        <v>3712</v>
      </c>
      <c r="D244" s="195" t="s">
        <v>3585</v>
      </c>
      <c r="E244" s="195" t="s">
        <v>3580</v>
      </c>
      <c r="F244" s="195" t="s">
        <v>3586</v>
      </c>
    </row>
    <row r="245" spans="1:6" x14ac:dyDescent="0.35">
      <c r="A245" s="195" t="s">
        <v>3559</v>
      </c>
      <c r="B245" s="64">
        <v>4648</v>
      </c>
      <c r="C245" s="195" t="s">
        <v>3713</v>
      </c>
      <c r="D245" s="195" t="s">
        <v>3585</v>
      </c>
      <c r="E245" s="195" t="s">
        <v>3580</v>
      </c>
      <c r="F245" s="195" t="s">
        <v>3586</v>
      </c>
    </row>
    <row r="246" spans="1:6" x14ac:dyDescent="0.35">
      <c r="A246" s="195" t="s">
        <v>3560</v>
      </c>
      <c r="B246" s="64">
        <v>28006</v>
      </c>
      <c r="C246" s="195" t="s">
        <v>3714</v>
      </c>
      <c r="D246" s="195" t="s">
        <v>3585</v>
      </c>
      <c r="E246" s="195" t="s">
        <v>3580</v>
      </c>
      <c r="F246" s="195" t="s">
        <v>3586</v>
      </c>
    </row>
    <row r="247" spans="1:6" x14ac:dyDescent="0.35">
      <c r="A247" s="195" t="s">
        <v>3561</v>
      </c>
      <c r="B247" s="64">
        <v>30662</v>
      </c>
      <c r="C247" s="195" t="s">
        <v>3715</v>
      </c>
      <c r="D247" s="195" t="s">
        <v>3585</v>
      </c>
      <c r="E247" s="195" t="s">
        <v>3580</v>
      </c>
      <c r="F247" s="195" t="s">
        <v>3586</v>
      </c>
    </row>
    <row r="248" spans="1:6" x14ac:dyDescent="0.35">
      <c r="A248" s="195" t="s">
        <v>3562</v>
      </c>
      <c r="B248" s="64">
        <v>16269</v>
      </c>
      <c r="C248" s="195" t="s">
        <v>3716</v>
      </c>
      <c r="D248" s="195" t="s">
        <v>3585</v>
      </c>
      <c r="E248" s="195" t="s">
        <v>3580</v>
      </c>
      <c r="F248" s="195" t="s">
        <v>3586</v>
      </c>
    </row>
    <row r="249" spans="1:6" x14ac:dyDescent="0.35">
      <c r="A249" s="195" t="s">
        <v>3563</v>
      </c>
      <c r="B249" s="195">
        <v>0</v>
      </c>
      <c r="C249" s="195" t="s">
        <v>3717</v>
      </c>
      <c r="D249" s="195" t="s">
        <v>3585</v>
      </c>
      <c r="E249" s="195" t="s">
        <v>3580</v>
      </c>
      <c r="F249" s="195" t="s">
        <v>3586</v>
      </c>
    </row>
    <row r="250" spans="1:6" x14ac:dyDescent="0.35">
      <c r="A250" s="195" t="s">
        <v>3564</v>
      </c>
      <c r="B250" s="64">
        <v>16269</v>
      </c>
      <c r="C250" s="195" t="s">
        <v>3718</v>
      </c>
      <c r="D250" s="195" t="s">
        <v>3585</v>
      </c>
      <c r="E250" s="195" t="s">
        <v>3580</v>
      </c>
      <c r="F250" s="195" t="s">
        <v>3586</v>
      </c>
    </row>
    <row r="251" spans="1:6" x14ac:dyDescent="0.35">
      <c r="A251" s="195" t="s">
        <v>3565</v>
      </c>
      <c r="B251" s="64">
        <v>14935</v>
      </c>
      <c r="C251" s="195" t="s">
        <v>3719</v>
      </c>
      <c r="D251" s="195" t="s">
        <v>3585</v>
      </c>
      <c r="E251" s="195" t="s">
        <v>3580</v>
      </c>
      <c r="F251" s="195" t="s">
        <v>3586</v>
      </c>
    </row>
    <row r="252" spans="1:6" x14ac:dyDescent="0.35">
      <c r="A252" s="195" t="s">
        <v>3566</v>
      </c>
      <c r="B252" s="64">
        <v>1334</v>
      </c>
      <c r="C252" s="195" t="s">
        <v>3720</v>
      </c>
      <c r="D252" s="195" t="s">
        <v>3585</v>
      </c>
      <c r="E252" s="195" t="s">
        <v>3580</v>
      </c>
      <c r="F252" s="195" t="s">
        <v>3586</v>
      </c>
    </row>
    <row r="253" spans="1:6" x14ac:dyDescent="0.35">
      <c r="A253" s="195" t="s">
        <v>3567</v>
      </c>
      <c r="B253" s="64">
        <v>14393</v>
      </c>
      <c r="C253" s="195" t="s">
        <v>3721</v>
      </c>
      <c r="D253" s="195" t="s">
        <v>3585</v>
      </c>
      <c r="E253" s="195" t="s">
        <v>3580</v>
      </c>
      <c r="F253" s="195" t="s">
        <v>3586</v>
      </c>
    </row>
    <row r="254" spans="1:6" x14ac:dyDescent="0.35">
      <c r="A254" s="195" t="s">
        <v>3568</v>
      </c>
      <c r="B254" s="64">
        <v>41658</v>
      </c>
      <c r="C254" s="195" t="s">
        <v>3722</v>
      </c>
      <c r="D254" s="195" t="s">
        <v>3585</v>
      </c>
      <c r="E254" s="195" t="s">
        <v>3580</v>
      </c>
      <c r="F254" s="195" t="s">
        <v>3586</v>
      </c>
    </row>
    <row r="255" spans="1:6" x14ac:dyDescent="0.35">
      <c r="A255" s="195" t="s">
        <v>3569</v>
      </c>
      <c r="B255" s="64">
        <v>18885</v>
      </c>
      <c r="C255" s="195" t="s">
        <v>3723</v>
      </c>
      <c r="D255" s="195" t="s">
        <v>3585</v>
      </c>
      <c r="E255" s="195" t="s">
        <v>3580</v>
      </c>
      <c r="F255" s="195" t="s">
        <v>3586</v>
      </c>
    </row>
    <row r="256" spans="1:6" x14ac:dyDescent="0.35">
      <c r="A256" s="195" t="s">
        <v>3570</v>
      </c>
      <c r="B256" s="195">
        <v>0</v>
      </c>
      <c r="C256" s="195" t="s">
        <v>3724</v>
      </c>
      <c r="D256" s="195" t="s">
        <v>3585</v>
      </c>
      <c r="E256" s="195" t="s">
        <v>3580</v>
      </c>
      <c r="F256" s="195" t="s">
        <v>3586</v>
      </c>
    </row>
    <row r="257" spans="1:6" x14ac:dyDescent="0.35">
      <c r="A257" s="195" t="s">
        <v>3571</v>
      </c>
      <c r="B257" s="64">
        <v>18885</v>
      </c>
      <c r="C257" s="195" t="s">
        <v>3725</v>
      </c>
      <c r="D257" s="195" t="s">
        <v>3585</v>
      </c>
      <c r="E257" s="195" t="s">
        <v>3580</v>
      </c>
      <c r="F257" s="195" t="s">
        <v>3586</v>
      </c>
    </row>
    <row r="258" spans="1:6" x14ac:dyDescent="0.35">
      <c r="A258" s="195" t="s">
        <v>3572</v>
      </c>
      <c r="B258" s="64">
        <v>17582</v>
      </c>
      <c r="C258" s="195" t="s">
        <v>3726</v>
      </c>
      <c r="D258" s="195" t="s">
        <v>3585</v>
      </c>
      <c r="E258" s="195" t="s">
        <v>3580</v>
      </c>
      <c r="F258" s="195" t="s">
        <v>3586</v>
      </c>
    </row>
    <row r="259" spans="1:6" x14ac:dyDescent="0.35">
      <c r="A259" s="195" t="s">
        <v>3573</v>
      </c>
      <c r="B259" s="64">
        <v>1303</v>
      </c>
      <c r="C259" s="195" t="s">
        <v>3727</v>
      </c>
      <c r="D259" s="195" t="s">
        <v>3585</v>
      </c>
      <c r="E259" s="195" t="s">
        <v>3580</v>
      </c>
      <c r="F259" s="195" t="s">
        <v>3586</v>
      </c>
    </row>
    <row r="260" spans="1:6" x14ac:dyDescent="0.35">
      <c r="A260" s="195" t="s">
        <v>3574</v>
      </c>
      <c r="B260" s="64">
        <v>22773</v>
      </c>
      <c r="C260" s="195" t="s">
        <v>3728</v>
      </c>
      <c r="D260" s="195" t="s">
        <v>3585</v>
      </c>
      <c r="E260" s="195" t="s">
        <v>3580</v>
      </c>
      <c r="F260" s="195" t="s">
        <v>3586</v>
      </c>
    </row>
    <row r="261" spans="1:6" x14ac:dyDescent="0.35">
      <c r="A261" s="195" t="s">
        <v>3871</v>
      </c>
      <c r="B261" s="64">
        <v>1536419</v>
      </c>
      <c r="C261" s="195" t="s">
        <v>26</v>
      </c>
      <c r="D261" s="195" t="s">
        <v>3983</v>
      </c>
      <c r="E261" s="195" t="s">
        <v>3580</v>
      </c>
      <c r="F261" s="195" t="s">
        <v>3984</v>
      </c>
    </row>
    <row r="262" spans="1:6" x14ac:dyDescent="0.35">
      <c r="A262" s="195" t="s">
        <v>3872</v>
      </c>
      <c r="B262" s="64">
        <v>215055</v>
      </c>
      <c r="C262" s="195" t="s">
        <v>3985</v>
      </c>
      <c r="D262" s="195" t="s">
        <v>3983</v>
      </c>
      <c r="E262" s="195" t="s">
        <v>3580</v>
      </c>
      <c r="F262" s="195" t="s">
        <v>3984</v>
      </c>
    </row>
    <row r="263" spans="1:6" x14ac:dyDescent="0.35">
      <c r="A263" s="195" t="s">
        <v>3873</v>
      </c>
      <c r="B263" s="64">
        <v>129767</v>
      </c>
      <c r="C263" s="195" t="s">
        <v>3986</v>
      </c>
      <c r="D263" s="195" t="s">
        <v>3983</v>
      </c>
      <c r="E263" s="195" t="s">
        <v>3580</v>
      </c>
      <c r="F263" s="195" t="s">
        <v>3984</v>
      </c>
    </row>
    <row r="264" spans="1:6" x14ac:dyDescent="0.35">
      <c r="A264" s="195" t="s">
        <v>3874</v>
      </c>
      <c r="B264" s="195">
        <v>0</v>
      </c>
      <c r="C264" s="195" t="s">
        <v>3987</v>
      </c>
      <c r="D264" s="195" t="s">
        <v>3983</v>
      </c>
      <c r="E264" s="195" t="s">
        <v>3580</v>
      </c>
      <c r="F264" s="195" t="s">
        <v>3984</v>
      </c>
    </row>
    <row r="265" spans="1:6" x14ac:dyDescent="0.35">
      <c r="A265" s="195" t="s">
        <v>3875</v>
      </c>
      <c r="B265" s="64">
        <v>129767</v>
      </c>
      <c r="C265" s="195" t="s">
        <v>3988</v>
      </c>
      <c r="D265" s="195" t="s">
        <v>3983</v>
      </c>
      <c r="E265" s="195" t="s">
        <v>3580</v>
      </c>
      <c r="F265" s="195" t="s">
        <v>3984</v>
      </c>
    </row>
    <row r="266" spans="1:6" x14ac:dyDescent="0.35">
      <c r="A266" s="195" t="s">
        <v>3876</v>
      </c>
      <c r="B266" s="64">
        <v>112408</v>
      </c>
      <c r="C266" s="195" t="s">
        <v>3989</v>
      </c>
      <c r="D266" s="195" t="s">
        <v>3983</v>
      </c>
      <c r="E266" s="195" t="s">
        <v>3580</v>
      </c>
      <c r="F266" s="195" t="s">
        <v>3984</v>
      </c>
    </row>
    <row r="267" spans="1:6" x14ac:dyDescent="0.35">
      <c r="A267" s="195" t="s">
        <v>3877</v>
      </c>
      <c r="B267" s="64">
        <v>17359</v>
      </c>
      <c r="C267" s="195" t="s">
        <v>3990</v>
      </c>
      <c r="D267" s="195" t="s">
        <v>3983</v>
      </c>
      <c r="E267" s="195" t="s">
        <v>3580</v>
      </c>
      <c r="F267" s="195" t="s">
        <v>3984</v>
      </c>
    </row>
    <row r="268" spans="1:6" x14ac:dyDescent="0.35">
      <c r="A268" s="195" t="s">
        <v>3878</v>
      </c>
      <c r="B268" s="64">
        <v>85288</v>
      </c>
      <c r="C268" s="195" t="s">
        <v>3991</v>
      </c>
      <c r="D268" s="195" t="s">
        <v>3983</v>
      </c>
      <c r="E268" s="195" t="s">
        <v>3580</v>
      </c>
      <c r="F268" s="195" t="s">
        <v>3984</v>
      </c>
    </row>
    <row r="269" spans="1:6" x14ac:dyDescent="0.35">
      <c r="A269" s="195" t="s">
        <v>3879</v>
      </c>
      <c r="B269" s="64">
        <v>333824</v>
      </c>
      <c r="C269" s="195" t="s">
        <v>3992</v>
      </c>
      <c r="D269" s="195" t="s">
        <v>3983</v>
      </c>
      <c r="E269" s="195" t="s">
        <v>3580</v>
      </c>
      <c r="F269" s="195" t="s">
        <v>3984</v>
      </c>
    </row>
    <row r="270" spans="1:6" x14ac:dyDescent="0.35">
      <c r="A270" s="195" t="s">
        <v>3880</v>
      </c>
      <c r="B270" s="64">
        <v>239011</v>
      </c>
      <c r="C270" s="195" t="s">
        <v>3993</v>
      </c>
      <c r="D270" s="195" t="s">
        <v>3983</v>
      </c>
      <c r="E270" s="195" t="s">
        <v>3580</v>
      </c>
      <c r="F270" s="195" t="s">
        <v>3984</v>
      </c>
    </row>
    <row r="271" spans="1:6" x14ac:dyDescent="0.35">
      <c r="A271" s="195" t="s">
        <v>3881</v>
      </c>
      <c r="B271" s="195">
        <v>50</v>
      </c>
      <c r="C271" s="195" t="s">
        <v>3994</v>
      </c>
      <c r="D271" s="195" t="s">
        <v>3983</v>
      </c>
      <c r="E271" s="195" t="s">
        <v>3580</v>
      </c>
      <c r="F271" s="195" t="s">
        <v>3984</v>
      </c>
    </row>
    <row r="272" spans="1:6" x14ac:dyDescent="0.35">
      <c r="A272" s="195" t="s">
        <v>3882</v>
      </c>
      <c r="B272" s="64">
        <v>238961</v>
      </c>
      <c r="C272" s="195" t="s">
        <v>3995</v>
      </c>
      <c r="D272" s="195" t="s">
        <v>3983</v>
      </c>
      <c r="E272" s="195" t="s">
        <v>3580</v>
      </c>
      <c r="F272" s="195" t="s">
        <v>3984</v>
      </c>
    </row>
    <row r="273" spans="1:6" x14ac:dyDescent="0.35">
      <c r="A273" s="195" t="s">
        <v>3883</v>
      </c>
      <c r="B273" s="64">
        <v>207322</v>
      </c>
      <c r="C273" s="195" t="s">
        <v>3996</v>
      </c>
      <c r="D273" s="195" t="s">
        <v>3983</v>
      </c>
      <c r="E273" s="195" t="s">
        <v>3580</v>
      </c>
      <c r="F273" s="195" t="s">
        <v>3984</v>
      </c>
    </row>
    <row r="274" spans="1:6" x14ac:dyDescent="0.35">
      <c r="A274" s="195" t="s">
        <v>3884</v>
      </c>
      <c r="B274" s="64">
        <v>31639</v>
      </c>
      <c r="C274" s="195" t="s">
        <v>3997</v>
      </c>
      <c r="D274" s="195" t="s">
        <v>3983</v>
      </c>
      <c r="E274" s="195" t="s">
        <v>3580</v>
      </c>
      <c r="F274" s="195" t="s">
        <v>3984</v>
      </c>
    </row>
    <row r="275" spans="1:6" x14ac:dyDescent="0.35">
      <c r="A275" s="195" t="s">
        <v>3885</v>
      </c>
      <c r="B275" s="64">
        <v>94813</v>
      </c>
      <c r="C275" s="195" t="s">
        <v>3998</v>
      </c>
      <c r="D275" s="195" t="s">
        <v>3983</v>
      </c>
      <c r="E275" s="195" t="s">
        <v>3580</v>
      </c>
      <c r="F275" s="195" t="s">
        <v>3984</v>
      </c>
    </row>
    <row r="276" spans="1:6" x14ac:dyDescent="0.35">
      <c r="A276" s="195" t="s">
        <v>3886</v>
      </c>
      <c r="B276" s="64">
        <v>367688</v>
      </c>
      <c r="C276" s="195" t="s">
        <v>3999</v>
      </c>
      <c r="D276" s="195" t="s">
        <v>3983</v>
      </c>
      <c r="E276" s="195" t="s">
        <v>3580</v>
      </c>
      <c r="F276" s="195" t="s">
        <v>3984</v>
      </c>
    </row>
    <row r="277" spans="1:6" x14ac:dyDescent="0.35">
      <c r="A277" s="195" t="s">
        <v>3887</v>
      </c>
      <c r="B277" s="64">
        <v>292921</v>
      </c>
      <c r="C277" s="195" t="s">
        <v>4000</v>
      </c>
      <c r="D277" s="195" t="s">
        <v>3983</v>
      </c>
      <c r="E277" s="195" t="s">
        <v>3580</v>
      </c>
      <c r="F277" s="195" t="s">
        <v>3984</v>
      </c>
    </row>
    <row r="278" spans="1:6" x14ac:dyDescent="0.35">
      <c r="A278" s="195" t="s">
        <v>3888</v>
      </c>
      <c r="B278" s="195">
        <v>277</v>
      </c>
      <c r="C278" s="195" t="s">
        <v>4001</v>
      </c>
      <c r="D278" s="195" t="s">
        <v>3983</v>
      </c>
      <c r="E278" s="195" t="s">
        <v>3580</v>
      </c>
      <c r="F278" s="195" t="s">
        <v>3984</v>
      </c>
    </row>
    <row r="279" spans="1:6" x14ac:dyDescent="0.35">
      <c r="A279" s="195" t="s">
        <v>3889</v>
      </c>
      <c r="B279" s="64">
        <v>292644</v>
      </c>
      <c r="C279" s="195" t="s">
        <v>4002</v>
      </c>
      <c r="D279" s="195" t="s">
        <v>3983</v>
      </c>
      <c r="E279" s="195" t="s">
        <v>3580</v>
      </c>
      <c r="F279" s="195" t="s">
        <v>3984</v>
      </c>
    </row>
    <row r="280" spans="1:6" x14ac:dyDescent="0.35">
      <c r="A280" s="195" t="s">
        <v>3890</v>
      </c>
      <c r="B280" s="64">
        <v>264281</v>
      </c>
      <c r="C280" s="195" t="s">
        <v>4003</v>
      </c>
      <c r="D280" s="195" t="s">
        <v>3983</v>
      </c>
      <c r="E280" s="195" t="s">
        <v>3580</v>
      </c>
      <c r="F280" s="195" t="s">
        <v>3984</v>
      </c>
    </row>
    <row r="281" spans="1:6" x14ac:dyDescent="0.35">
      <c r="A281" s="195" t="s">
        <v>3891</v>
      </c>
      <c r="B281" s="64">
        <v>28363</v>
      </c>
      <c r="C281" s="195" t="s">
        <v>4004</v>
      </c>
      <c r="D281" s="195" t="s">
        <v>3983</v>
      </c>
      <c r="E281" s="195" t="s">
        <v>3580</v>
      </c>
      <c r="F281" s="195" t="s">
        <v>3984</v>
      </c>
    </row>
    <row r="282" spans="1:6" x14ac:dyDescent="0.35">
      <c r="A282" s="195" t="s">
        <v>3892</v>
      </c>
      <c r="B282" s="64">
        <v>74767</v>
      </c>
      <c r="C282" s="195" t="s">
        <v>4005</v>
      </c>
      <c r="D282" s="195" t="s">
        <v>3983</v>
      </c>
      <c r="E282" s="195" t="s">
        <v>3580</v>
      </c>
      <c r="F282" s="195" t="s">
        <v>3984</v>
      </c>
    </row>
    <row r="283" spans="1:6" x14ac:dyDescent="0.35">
      <c r="A283" s="195" t="s">
        <v>3893</v>
      </c>
      <c r="B283" s="64">
        <v>619852</v>
      </c>
      <c r="C283" s="195" t="s">
        <v>4006</v>
      </c>
      <c r="D283" s="195" t="s">
        <v>3983</v>
      </c>
      <c r="E283" s="195" t="s">
        <v>3580</v>
      </c>
      <c r="F283" s="195" t="s">
        <v>3984</v>
      </c>
    </row>
    <row r="284" spans="1:6" x14ac:dyDescent="0.35">
      <c r="A284" s="195" t="s">
        <v>3894</v>
      </c>
      <c r="B284" s="64">
        <v>553263</v>
      </c>
      <c r="C284" s="195" t="s">
        <v>4007</v>
      </c>
      <c r="D284" s="195" t="s">
        <v>3983</v>
      </c>
      <c r="E284" s="195" t="s">
        <v>3580</v>
      </c>
      <c r="F284" s="195" t="s">
        <v>3984</v>
      </c>
    </row>
    <row r="285" spans="1:6" x14ac:dyDescent="0.35">
      <c r="A285" s="195" t="s">
        <v>3895</v>
      </c>
      <c r="B285" s="195">
        <v>229</v>
      </c>
      <c r="C285" s="195" t="s">
        <v>4008</v>
      </c>
      <c r="D285" s="195" t="s">
        <v>3983</v>
      </c>
      <c r="E285" s="195" t="s">
        <v>3580</v>
      </c>
      <c r="F285" s="195" t="s">
        <v>3984</v>
      </c>
    </row>
    <row r="286" spans="1:6" x14ac:dyDescent="0.35">
      <c r="A286" s="195" t="s">
        <v>3896</v>
      </c>
      <c r="B286" s="64">
        <v>553034</v>
      </c>
      <c r="C286" s="195" t="s">
        <v>4009</v>
      </c>
      <c r="D286" s="195" t="s">
        <v>3983</v>
      </c>
      <c r="E286" s="195" t="s">
        <v>3580</v>
      </c>
      <c r="F286" s="195" t="s">
        <v>3984</v>
      </c>
    </row>
    <row r="287" spans="1:6" x14ac:dyDescent="0.35">
      <c r="A287" s="195" t="s">
        <v>3897</v>
      </c>
      <c r="B287" s="64">
        <v>532752</v>
      </c>
      <c r="C287" s="195" t="s">
        <v>4010</v>
      </c>
      <c r="D287" s="195" t="s">
        <v>3983</v>
      </c>
      <c r="E287" s="195" t="s">
        <v>3580</v>
      </c>
      <c r="F287" s="195" t="s">
        <v>3984</v>
      </c>
    </row>
    <row r="288" spans="1:6" x14ac:dyDescent="0.35">
      <c r="A288" s="195" t="s">
        <v>3898</v>
      </c>
      <c r="B288" s="64">
        <v>20282</v>
      </c>
      <c r="C288" s="195" t="s">
        <v>4011</v>
      </c>
      <c r="D288" s="195" t="s">
        <v>3983</v>
      </c>
      <c r="E288" s="195" t="s">
        <v>3580</v>
      </c>
      <c r="F288" s="195" t="s">
        <v>3984</v>
      </c>
    </row>
    <row r="289" spans="1:6" x14ac:dyDescent="0.35">
      <c r="A289" s="195" t="s">
        <v>3899</v>
      </c>
      <c r="B289" s="64">
        <v>66589</v>
      </c>
      <c r="C289" s="195" t="s">
        <v>4012</v>
      </c>
      <c r="D289" s="195" t="s">
        <v>3983</v>
      </c>
      <c r="E289" s="195" t="s">
        <v>3580</v>
      </c>
      <c r="F289" s="195" t="s">
        <v>3984</v>
      </c>
    </row>
    <row r="290" spans="1:6" x14ac:dyDescent="0.35">
      <c r="A290" s="195" t="s">
        <v>3430</v>
      </c>
      <c r="B290" s="64">
        <v>1457777</v>
      </c>
      <c r="C290" s="195" t="s">
        <v>3729</v>
      </c>
      <c r="D290" s="195" t="s">
        <v>3730</v>
      </c>
      <c r="E290" s="195" t="s">
        <v>3580</v>
      </c>
      <c r="F290" s="195" t="s">
        <v>3731</v>
      </c>
    </row>
    <row r="291" spans="1:6" x14ac:dyDescent="0.35">
      <c r="A291" s="195" t="s">
        <v>3431</v>
      </c>
      <c r="B291" s="64">
        <v>1313445</v>
      </c>
      <c r="C291" s="195" t="s">
        <v>3732</v>
      </c>
      <c r="D291" s="195" t="s">
        <v>3730</v>
      </c>
      <c r="E291" s="195" t="s">
        <v>3580</v>
      </c>
      <c r="F291" s="195" t="s">
        <v>3731</v>
      </c>
    </row>
    <row r="292" spans="1:6" x14ac:dyDescent="0.35">
      <c r="A292" s="195" t="s">
        <v>3337</v>
      </c>
      <c r="B292" s="64">
        <v>1046789</v>
      </c>
      <c r="C292" s="195" t="s">
        <v>26</v>
      </c>
      <c r="D292" s="195" t="s">
        <v>3733</v>
      </c>
      <c r="E292" s="195" t="s">
        <v>3580</v>
      </c>
      <c r="F292" s="195" t="s">
        <v>3734</v>
      </c>
    </row>
    <row r="293" spans="1:6" x14ac:dyDescent="0.35">
      <c r="A293" s="195" t="s">
        <v>3339</v>
      </c>
      <c r="B293" s="64">
        <v>1200305</v>
      </c>
      <c r="C293" s="195" t="s">
        <v>26</v>
      </c>
      <c r="D293" s="195" t="s">
        <v>3735</v>
      </c>
      <c r="E293" s="195" t="s">
        <v>3580</v>
      </c>
      <c r="F293" s="195" t="s">
        <v>3736</v>
      </c>
    </row>
    <row r="294" spans="1:6" x14ac:dyDescent="0.35">
      <c r="A294" s="195" t="s">
        <v>3340</v>
      </c>
      <c r="B294" s="64">
        <v>310378</v>
      </c>
      <c r="C294" s="195" t="s">
        <v>3737</v>
      </c>
      <c r="D294" s="195" t="s">
        <v>3735</v>
      </c>
      <c r="E294" s="195" t="s">
        <v>3580</v>
      </c>
      <c r="F294" s="195" t="s">
        <v>3736</v>
      </c>
    </row>
    <row r="295" spans="1:6" x14ac:dyDescent="0.35">
      <c r="A295" s="195" t="s">
        <v>3341</v>
      </c>
      <c r="B295" s="64">
        <v>41094</v>
      </c>
      <c r="C295" s="195" t="s">
        <v>3738</v>
      </c>
      <c r="D295" s="195" t="s">
        <v>3735</v>
      </c>
      <c r="E295" s="195" t="s">
        <v>3580</v>
      </c>
      <c r="F295" s="195" t="s">
        <v>3736</v>
      </c>
    </row>
    <row r="296" spans="1:6" x14ac:dyDescent="0.35">
      <c r="A296" s="195" t="s">
        <v>3342</v>
      </c>
      <c r="B296" s="64">
        <v>174476</v>
      </c>
      <c r="C296" s="195" t="s">
        <v>3739</v>
      </c>
      <c r="D296" s="195" t="s">
        <v>3735</v>
      </c>
      <c r="E296" s="195" t="s">
        <v>3580</v>
      </c>
      <c r="F296" s="195" t="s">
        <v>3736</v>
      </c>
    </row>
    <row r="297" spans="1:6" x14ac:dyDescent="0.35">
      <c r="A297" s="195" t="s">
        <v>3343</v>
      </c>
      <c r="B297" s="64">
        <v>180464</v>
      </c>
      <c r="C297" s="195" t="s">
        <v>3740</v>
      </c>
      <c r="D297" s="195" t="s">
        <v>3735</v>
      </c>
      <c r="E297" s="195" t="s">
        <v>3580</v>
      </c>
      <c r="F297" s="195" t="s">
        <v>3736</v>
      </c>
    </row>
    <row r="298" spans="1:6" x14ac:dyDescent="0.35">
      <c r="A298" s="195" t="s">
        <v>3344</v>
      </c>
      <c r="B298" s="64">
        <v>140762</v>
      </c>
      <c r="C298" s="195" t="s">
        <v>3741</v>
      </c>
      <c r="D298" s="195" t="s">
        <v>3735</v>
      </c>
      <c r="E298" s="195" t="s">
        <v>3580</v>
      </c>
      <c r="F298" s="195" t="s">
        <v>3736</v>
      </c>
    </row>
    <row r="299" spans="1:6" x14ac:dyDescent="0.35">
      <c r="A299" s="195" t="s">
        <v>3345</v>
      </c>
      <c r="B299" s="64">
        <v>53582</v>
      </c>
      <c r="C299" s="195" t="s">
        <v>3742</v>
      </c>
      <c r="D299" s="195" t="s">
        <v>3735</v>
      </c>
      <c r="E299" s="195" t="s">
        <v>3580</v>
      </c>
      <c r="F299" s="195" t="s">
        <v>3736</v>
      </c>
    </row>
    <row r="300" spans="1:6" x14ac:dyDescent="0.35">
      <c r="A300" s="195" t="s">
        <v>3346</v>
      </c>
      <c r="B300" s="64">
        <v>78255</v>
      </c>
      <c r="C300" s="195" t="s">
        <v>3743</v>
      </c>
      <c r="D300" s="195" t="s">
        <v>3735</v>
      </c>
      <c r="E300" s="195" t="s">
        <v>3580</v>
      </c>
      <c r="F300" s="195" t="s">
        <v>3736</v>
      </c>
    </row>
    <row r="301" spans="1:6" x14ac:dyDescent="0.35">
      <c r="A301" s="195" t="s">
        <v>3347</v>
      </c>
      <c r="B301" s="64">
        <v>218781</v>
      </c>
      <c r="C301" s="195" t="s">
        <v>3744</v>
      </c>
      <c r="D301" s="195" t="s">
        <v>3735</v>
      </c>
      <c r="E301" s="195" t="s">
        <v>3580</v>
      </c>
      <c r="F301" s="195" t="s">
        <v>3736</v>
      </c>
    </row>
    <row r="302" spans="1:6" x14ac:dyDescent="0.35">
      <c r="A302" s="195" t="s">
        <v>3348</v>
      </c>
      <c r="B302" s="64">
        <v>2213</v>
      </c>
      <c r="C302" s="195" t="s">
        <v>3745</v>
      </c>
      <c r="D302" s="195" t="s">
        <v>3735</v>
      </c>
      <c r="E302" s="195" t="s">
        <v>3580</v>
      </c>
      <c r="F302" s="195" t="s">
        <v>3736</v>
      </c>
    </row>
    <row r="303" spans="1:6" x14ac:dyDescent="0.35">
      <c r="A303" s="195" t="s">
        <v>3349</v>
      </c>
      <c r="B303" s="195">
        <v>300</v>
      </c>
      <c r="C303" s="195" t="s">
        <v>3746</v>
      </c>
      <c r="D303" s="195" t="s">
        <v>3735</v>
      </c>
      <c r="E303" s="195" t="s">
        <v>3580</v>
      </c>
      <c r="F303" s="195" t="s">
        <v>3736</v>
      </c>
    </row>
    <row r="304" spans="1:6" x14ac:dyDescent="0.35">
      <c r="A304" s="195" t="s">
        <v>3407</v>
      </c>
      <c r="B304" s="64">
        <v>1046789</v>
      </c>
      <c r="C304" s="195" t="s">
        <v>26</v>
      </c>
      <c r="D304" s="195" t="s">
        <v>3747</v>
      </c>
      <c r="E304" s="195" t="s">
        <v>3580</v>
      </c>
      <c r="F304" s="195" t="s">
        <v>3748</v>
      </c>
    </row>
    <row r="305" spans="1:6" x14ac:dyDescent="0.35">
      <c r="A305" s="195" t="s">
        <v>3408</v>
      </c>
      <c r="B305" s="64">
        <v>466587</v>
      </c>
      <c r="C305" s="195" t="s">
        <v>3749</v>
      </c>
      <c r="D305" s="195" t="s">
        <v>3747</v>
      </c>
      <c r="E305" s="195" t="s">
        <v>3580</v>
      </c>
      <c r="F305" s="195" t="s">
        <v>3748</v>
      </c>
    </row>
    <row r="306" spans="1:6" x14ac:dyDescent="0.35">
      <c r="A306" s="195" t="s">
        <v>3409</v>
      </c>
      <c r="B306" s="64">
        <v>1491</v>
      </c>
      <c r="C306" s="195" t="s">
        <v>3750</v>
      </c>
      <c r="D306" s="195" t="s">
        <v>3747</v>
      </c>
      <c r="E306" s="195" t="s">
        <v>3580</v>
      </c>
      <c r="F306" s="195" t="s">
        <v>3748</v>
      </c>
    </row>
    <row r="307" spans="1:6" x14ac:dyDescent="0.35">
      <c r="A307" s="195" t="s">
        <v>3410</v>
      </c>
      <c r="B307" s="64">
        <v>3311</v>
      </c>
      <c r="C307" s="195" t="s">
        <v>3751</v>
      </c>
      <c r="D307" s="195" t="s">
        <v>3747</v>
      </c>
      <c r="E307" s="195" t="s">
        <v>3580</v>
      </c>
      <c r="F307" s="195" t="s">
        <v>3748</v>
      </c>
    </row>
    <row r="308" spans="1:6" x14ac:dyDescent="0.35">
      <c r="A308" s="195" t="s">
        <v>3411</v>
      </c>
      <c r="B308" s="64">
        <v>45413</v>
      </c>
      <c r="C308" s="195" t="s">
        <v>3752</v>
      </c>
      <c r="D308" s="195" t="s">
        <v>3747</v>
      </c>
      <c r="E308" s="195" t="s">
        <v>3580</v>
      </c>
      <c r="F308" s="195" t="s">
        <v>3748</v>
      </c>
    </row>
    <row r="309" spans="1:6" x14ac:dyDescent="0.35">
      <c r="A309" s="195" t="s">
        <v>3412</v>
      </c>
      <c r="B309" s="64">
        <v>21537</v>
      </c>
      <c r="C309" s="195" t="s">
        <v>3753</v>
      </c>
      <c r="D309" s="195" t="s">
        <v>3747</v>
      </c>
      <c r="E309" s="195" t="s">
        <v>3580</v>
      </c>
      <c r="F309" s="195" t="s">
        <v>3748</v>
      </c>
    </row>
    <row r="310" spans="1:6" x14ac:dyDescent="0.35">
      <c r="A310" s="195" t="s">
        <v>3413</v>
      </c>
      <c r="B310" s="64">
        <v>13281</v>
      </c>
      <c r="C310" s="195" t="s">
        <v>3754</v>
      </c>
      <c r="D310" s="195" t="s">
        <v>3747</v>
      </c>
      <c r="E310" s="195" t="s">
        <v>3580</v>
      </c>
      <c r="F310" s="195" t="s">
        <v>3748</v>
      </c>
    </row>
    <row r="311" spans="1:6" x14ac:dyDescent="0.35">
      <c r="A311" s="195" t="s">
        <v>3414</v>
      </c>
      <c r="B311" s="64">
        <v>27176</v>
      </c>
      <c r="C311" s="195" t="s">
        <v>3755</v>
      </c>
      <c r="D311" s="195" t="s">
        <v>3747</v>
      </c>
      <c r="E311" s="195" t="s">
        <v>3580</v>
      </c>
      <c r="F311" s="195" t="s">
        <v>3748</v>
      </c>
    </row>
    <row r="312" spans="1:6" x14ac:dyDescent="0.35">
      <c r="A312" s="195" t="s">
        <v>3415</v>
      </c>
      <c r="B312" s="64">
        <v>45607</v>
      </c>
      <c r="C312" s="195" t="s">
        <v>3756</v>
      </c>
      <c r="D312" s="195" t="s">
        <v>3747</v>
      </c>
      <c r="E312" s="195" t="s">
        <v>3580</v>
      </c>
      <c r="F312" s="195" t="s">
        <v>3748</v>
      </c>
    </row>
    <row r="313" spans="1:6" x14ac:dyDescent="0.35">
      <c r="A313" s="195" t="s">
        <v>3416</v>
      </c>
      <c r="B313" s="64">
        <v>73539</v>
      </c>
      <c r="C313" s="195" t="s">
        <v>3757</v>
      </c>
      <c r="D313" s="195" t="s">
        <v>3747</v>
      </c>
      <c r="E313" s="195" t="s">
        <v>3580</v>
      </c>
      <c r="F313" s="195" t="s">
        <v>3748</v>
      </c>
    </row>
    <row r="314" spans="1:6" x14ac:dyDescent="0.35">
      <c r="A314" s="195" t="s">
        <v>3417</v>
      </c>
      <c r="B314" s="64">
        <v>43023</v>
      </c>
      <c r="C314" s="195" t="s">
        <v>3758</v>
      </c>
      <c r="D314" s="195" t="s">
        <v>3747</v>
      </c>
      <c r="E314" s="195" t="s">
        <v>3580</v>
      </c>
      <c r="F314" s="195" t="s">
        <v>3748</v>
      </c>
    </row>
    <row r="315" spans="1:6" x14ac:dyDescent="0.35">
      <c r="A315" s="195" t="s">
        <v>3418</v>
      </c>
      <c r="B315" s="64">
        <v>192209</v>
      </c>
      <c r="C315" s="195" t="s">
        <v>3759</v>
      </c>
      <c r="D315" s="195" t="s">
        <v>3747</v>
      </c>
      <c r="E315" s="195" t="s">
        <v>3580</v>
      </c>
      <c r="F315" s="195" t="s">
        <v>3748</v>
      </c>
    </row>
    <row r="316" spans="1:6" x14ac:dyDescent="0.35">
      <c r="A316" s="195" t="s">
        <v>3419</v>
      </c>
      <c r="B316" s="64">
        <v>580202</v>
      </c>
      <c r="C316" s="195" t="s">
        <v>3760</v>
      </c>
      <c r="D316" s="195" t="s">
        <v>3747</v>
      </c>
      <c r="E316" s="195" t="s">
        <v>3580</v>
      </c>
      <c r="F316" s="195" t="s">
        <v>3748</v>
      </c>
    </row>
    <row r="317" spans="1:6" x14ac:dyDescent="0.35">
      <c r="A317" s="195" t="s">
        <v>3420</v>
      </c>
      <c r="B317" s="64">
        <v>3264</v>
      </c>
      <c r="C317" s="195" t="s">
        <v>3761</v>
      </c>
      <c r="D317" s="195" t="s">
        <v>3747</v>
      </c>
      <c r="E317" s="195" t="s">
        <v>3580</v>
      </c>
      <c r="F317" s="195" t="s">
        <v>3748</v>
      </c>
    </row>
    <row r="318" spans="1:6" x14ac:dyDescent="0.35">
      <c r="A318" s="195" t="s">
        <v>3421</v>
      </c>
      <c r="B318" s="64">
        <v>8265</v>
      </c>
      <c r="C318" s="195" t="s">
        <v>3762</v>
      </c>
      <c r="D318" s="195" t="s">
        <v>3747</v>
      </c>
      <c r="E318" s="195" t="s">
        <v>3580</v>
      </c>
      <c r="F318" s="195" t="s">
        <v>3748</v>
      </c>
    </row>
    <row r="319" spans="1:6" x14ac:dyDescent="0.35">
      <c r="A319" s="195" t="s">
        <v>3422</v>
      </c>
      <c r="B319" s="64">
        <v>40650</v>
      </c>
      <c r="C319" s="195" t="s">
        <v>3763</v>
      </c>
      <c r="D319" s="195" t="s">
        <v>3747</v>
      </c>
      <c r="E319" s="195" t="s">
        <v>3580</v>
      </c>
      <c r="F319" s="195" t="s">
        <v>3748</v>
      </c>
    </row>
    <row r="320" spans="1:6" x14ac:dyDescent="0.35">
      <c r="A320" s="195" t="s">
        <v>3423</v>
      </c>
      <c r="B320" s="64">
        <v>29459</v>
      </c>
      <c r="C320" s="195" t="s">
        <v>3764</v>
      </c>
      <c r="D320" s="195" t="s">
        <v>3747</v>
      </c>
      <c r="E320" s="195" t="s">
        <v>3580</v>
      </c>
      <c r="F320" s="195" t="s">
        <v>3748</v>
      </c>
    </row>
    <row r="321" spans="1:6" x14ac:dyDescent="0.35">
      <c r="A321" s="195" t="s">
        <v>3424</v>
      </c>
      <c r="B321" s="64">
        <v>31813</v>
      </c>
      <c r="C321" s="195" t="s">
        <v>3765</v>
      </c>
      <c r="D321" s="195" t="s">
        <v>3747</v>
      </c>
      <c r="E321" s="195" t="s">
        <v>3580</v>
      </c>
      <c r="F321" s="195" t="s">
        <v>3748</v>
      </c>
    </row>
    <row r="322" spans="1:6" x14ac:dyDescent="0.35">
      <c r="A322" s="195" t="s">
        <v>3425</v>
      </c>
      <c r="B322" s="64">
        <v>52854</v>
      </c>
      <c r="C322" s="195" t="s">
        <v>3766</v>
      </c>
      <c r="D322" s="195" t="s">
        <v>3747</v>
      </c>
      <c r="E322" s="195" t="s">
        <v>3580</v>
      </c>
      <c r="F322" s="195" t="s">
        <v>3748</v>
      </c>
    </row>
    <row r="323" spans="1:6" x14ac:dyDescent="0.35">
      <c r="A323" s="195" t="s">
        <v>3426</v>
      </c>
      <c r="B323" s="64">
        <v>58822</v>
      </c>
      <c r="C323" s="195" t="s">
        <v>3767</v>
      </c>
      <c r="D323" s="195" t="s">
        <v>3747</v>
      </c>
      <c r="E323" s="195" t="s">
        <v>3580</v>
      </c>
      <c r="F323" s="195" t="s">
        <v>3748</v>
      </c>
    </row>
    <row r="324" spans="1:6" x14ac:dyDescent="0.35">
      <c r="A324" s="195" t="s">
        <v>3427</v>
      </c>
      <c r="B324" s="64">
        <v>57829</v>
      </c>
      <c r="C324" s="195" t="s">
        <v>3768</v>
      </c>
      <c r="D324" s="195" t="s">
        <v>3747</v>
      </c>
      <c r="E324" s="195" t="s">
        <v>3580</v>
      </c>
      <c r="F324" s="195" t="s">
        <v>3748</v>
      </c>
    </row>
    <row r="325" spans="1:6" x14ac:dyDescent="0.35">
      <c r="A325" s="195" t="s">
        <v>3428</v>
      </c>
      <c r="B325" s="64">
        <v>51919</v>
      </c>
      <c r="C325" s="195" t="s">
        <v>3769</v>
      </c>
      <c r="D325" s="195" t="s">
        <v>3747</v>
      </c>
      <c r="E325" s="195" t="s">
        <v>3580</v>
      </c>
      <c r="F325" s="195" t="s">
        <v>3748</v>
      </c>
    </row>
    <row r="326" spans="1:6" x14ac:dyDescent="0.35">
      <c r="A326" s="195" t="s">
        <v>3429</v>
      </c>
      <c r="B326" s="64">
        <v>245327</v>
      </c>
      <c r="C326" s="195" t="s">
        <v>3770</v>
      </c>
      <c r="D326" s="195" t="s">
        <v>3747</v>
      </c>
      <c r="E326" s="195" t="s">
        <v>3580</v>
      </c>
      <c r="F326" s="195" t="s">
        <v>3748</v>
      </c>
    </row>
    <row r="327" spans="1:6" x14ac:dyDescent="0.35">
      <c r="A327" s="195" t="s">
        <v>3350</v>
      </c>
      <c r="B327" s="64">
        <v>1046789</v>
      </c>
      <c r="C327" s="195" t="s">
        <v>26</v>
      </c>
      <c r="D327" s="195" t="s">
        <v>3771</v>
      </c>
      <c r="E327" s="195" t="s">
        <v>3580</v>
      </c>
      <c r="F327" s="195" t="s">
        <v>3772</v>
      </c>
    </row>
    <row r="328" spans="1:6" x14ac:dyDescent="0.35">
      <c r="A328" s="195" t="s">
        <v>3351</v>
      </c>
      <c r="B328" s="64">
        <v>466587</v>
      </c>
      <c r="C328" s="195" t="s">
        <v>3749</v>
      </c>
      <c r="D328" s="195" t="s">
        <v>3771</v>
      </c>
      <c r="E328" s="195" t="s">
        <v>3580</v>
      </c>
      <c r="F328" s="195" t="s">
        <v>3772</v>
      </c>
    </row>
    <row r="329" spans="1:6" x14ac:dyDescent="0.35">
      <c r="A329" s="195" t="s">
        <v>3352</v>
      </c>
      <c r="B329" s="64">
        <v>5172</v>
      </c>
      <c r="C329" s="195" t="s">
        <v>3773</v>
      </c>
      <c r="D329" s="195" t="s">
        <v>3771</v>
      </c>
      <c r="E329" s="195" t="s">
        <v>3580</v>
      </c>
      <c r="F329" s="195" t="s">
        <v>3772</v>
      </c>
    </row>
    <row r="330" spans="1:6" x14ac:dyDescent="0.35">
      <c r="A330" s="195" t="s">
        <v>3353</v>
      </c>
      <c r="B330" s="64">
        <v>35134</v>
      </c>
      <c r="C330" s="195" t="s">
        <v>3774</v>
      </c>
      <c r="D330" s="195" t="s">
        <v>3771</v>
      </c>
      <c r="E330" s="195" t="s">
        <v>3580</v>
      </c>
      <c r="F330" s="195" t="s">
        <v>3772</v>
      </c>
    </row>
    <row r="331" spans="1:6" x14ac:dyDescent="0.35">
      <c r="A331" s="195" t="s">
        <v>3354</v>
      </c>
      <c r="B331" s="64">
        <v>146417</v>
      </c>
      <c r="C331" s="195" t="s">
        <v>3775</v>
      </c>
      <c r="D331" s="195" t="s">
        <v>3771</v>
      </c>
      <c r="E331" s="195" t="s">
        <v>3580</v>
      </c>
      <c r="F331" s="195" t="s">
        <v>3772</v>
      </c>
    </row>
    <row r="332" spans="1:6" x14ac:dyDescent="0.35">
      <c r="A332" s="195" t="s">
        <v>3355</v>
      </c>
      <c r="B332" s="64">
        <v>178582</v>
      </c>
      <c r="C332" s="195" t="s">
        <v>3776</v>
      </c>
      <c r="D332" s="195" t="s">
        <v>3771</v>
      </c>
      <c r="E332" s="195" t="s">
        <v>3580</v>
      </c>
      <c r="F332" s="195" t="s">
        <v>3772</v>
      </c>
    </row>
    <row r="333" spans="1:6" x14ac:dyDescent="0.35">
      <c r="A333" s="195" t="s">
        <v>3356</v>
      </c>
      <c r="B333" s="64">
        <v>70470</v>
      </c>
      <c r="C333" s="195" t="s">
        <v>3777</v>
      </c>
      <c r="D333" s="195" t="s">
        <v>3771</v>
      </c>
      <c r="E333" s="195" t="s">
        <v>3580</v>
      </c>
      <c r="F333" s="195" t="s">
        <v>3772</v>
      </c>
    </row>
    <row r="334" spans="1:6" x14ac:dyDescent="0.35">
      <c r="A334" s="195" t="s">
        <v>3357</v>
      </c>
      <c r="B334" s="64">
        <v>30812</v>
      </c>
      <c r="C334" s="195" t="s">
        <v>3778</v>
      </c>
      <c r="D334" s="195" t="s">
        <v>3771</v>
      </c>
      <c r="E334" s="195" t="s">
        <v>3580</v>
      </c>
      <c r="F334" s="195" t="s">
        <v>3772</v>
      </c>
    </row>
    <row r="335" spans="1:6" x14ac:dyDescent="0.35">
      <c r="A335" s="195" t="s">
        <v>3358</v>
      </c>
      <c r="B335" s="64">
        <v>580202</v>
      </c>
      <c r="C335" s="195" t="s">
        <v>3760</v>
      </c>
      <c r="D335" s="195" t="s">
        <v>3771</v>
      </c>
      <c r="E335" s="195" t="s">
        <v>3580</v>
      </c>
      <c r="F335" s="195" t="s">
        <v>3772</v>
      </c>
    </row>
    <row r="336" spans="1:6" x14ac:dyDescent="0.35">
      <c r="A336" s="195" t="s">
        <v>3359</v>
      </c>
      <c r="B336" s="64">
        <v>57648</v>
      </c>
      <c r="C336" s="195" t="s">
        <v>3779</v>
      </c>
      <c r="D336" s="195" t="s">
        <v>3771</v>
      </c>
      <c r="E336" s="195" t="s">
        <v>3580</v>
      </c>
      <c r="F336" s="195" t="s">
        <v>3772</v>
      </c>
    </row>
    <row r="337" spans="1:6" x14ac:dyDescent="0.35">
      <c r="A337" s="195" t="s">
        <v>3360</v>
      </c>
      <c r="B337" s="64">
        <v>174724</v>
      </c>
      <c r="C337" s="195" t="s">
        <v>3780</v>
      </c>
      <c r="D337" s="195" t="s">
        <v>3771</v>
      </c>
      <c r="E337" s="195" t="s">
        <v>3580</v>
      </c>
      <c r="F337" s="195" t="s">
        <v>3772</v>
      </c>
    </row>
    <row r="338" spans="1:6" x14ac:dyDescent="0.35">
      <c r="A338" s="195" t="s">
        <v>3361</v>
      </c>
      <c r="B338" s="64">
        <v>210935</v>
      </c>
      <c r="C338" s="195" t="s">
        <v>3781</v>
      </c>
      <c r="D338" s="195" t="s">
        <v>3771</v>
      </c>
      <c r="E338" s="195" t="s">
        <v>3580</v>
      </c>
      <c r="F338" s="195" t="s">
        <v>3772</v>
      </c>
    </row>
    <row r="339" spans="1:6" x14ac:dyDescent="0.35">
      <c r="A339" s="195" t="s">
        <v>3362</v>
      </c>
      <c r="B339" s="64">
        <v>109531</v>
      </c>
      <c r="C339" s="195" t="s">
        <v>3782</v>
      </c>
      <c r="D339" s="195" t="s">
        <v>3771</v>
      </c>
      <c r="E339" s="195" t="s">
        <v>3580</v>
      </c>
      <c r="F339" s="195" t="s">
        <v>3772</v>
      </c>
    </row>
    <row r="340" spans="1:6" x14ac:dyDescent="0.35">
      <c r="A340" s="195" t="s">
        <v>3363</v>
      </c>
      <c r="B340" s="64">
        <v>20718</v>
      </c>
      <c r="C340" s="195" t="s">
        <v>3783</v>
      </c>
      <c r="D340" s="195" t="s">
        <v>3771</v>
      </c>
      <c r="E340" s="195" t="s">
        <v>3580</v>
      </c>
      <c r="F340" s="195" t="s">
        <v>3772</v>
      </c>
    </row>
    <row r="341" spans="1:6" x14ac:dyDescent="0.35">
      <c r="A341" s="195" t="s">
        <v>3364</v>
      </c>
      <c r="B341" s="64">
        <v>6646</v>
      </c>
      <c r="C341" s="195" t="s">
        <v>3784</v>
      </c>
      <c r="D341" s="195" t="s">
        <v>3771</v>
      </c>
      <c r="E341" s="195" t="s">
        <v>3580</v>
      </c>
      <c r="F341" s="195" t="s">
        <v>3772</v>
      </c>
    </row>
    <row r="342" spans="1:6" x14ac:dyDescent="0.35">
      <c r="A342" s="195" t="s">
        <v>3366</v>
      </c>
      <c r="B342" s="195">
        <v>888</v>
      </c>
      <c r="C342" s="195" t="s">
        <v>3785</v>
      </c>
      <c r="D342" s="195" t="s">
        <v>3786</v>
      </c>
      <c r="E342" s="195" t="s">
        <v>3580</v>
      </c>
      <c r="F342" s="195" t="s">
        <v>3787</v>
      </c>
    </row>
    <row r="343" spans="1:6" x14ac:dyDescent="0.35">
      <c r="A343" s="195" t="s">
        <v>3367</v>
      </c>
      <c r="B343" s="64">
        <v>580202</v>
      </c>
      <c r="C343" s="195" t="s">
        <v>26</v>
      </c>
      <c r="D343" s="195" t="s">
        <v>3788</v>
      </c>
      <c r="E343" s="195" t="s">
        <v>3580</v>
      </c>
      <c r="F343" s="195" t="s">
        <v>3789</v>
      </c>
    </row>
    <row r="344" spans="1:6" x14ac:dyDescent="0.35">
      <c r="A344" s="195" t="s">
        <v>3368</v>
      </c>
      <c r="B344" s="64">
        <v>565165</v>
      </c>
      <c r="C344" s="195" t="s">
        <v>3790</v>
      </c>
      <c r="D344" s="195" t="s">
        <v>3788</v>
      </c>
      <c r="E344" s="195" t="s">
        <v>3580</v>
      </c>
      <c r="F344" s="195" t="s">
        <v>3789</v>
      </c>
    </row>
    <row r="345" spans="1:6" x14ac:dyDescent="0.35">
      <c r="A345" s="195" t="s">
        <v>3369</v>
      </c>
      <c r="B345" s="64">
        <v>2846</v>
      </c>
      <c r="C345" s="195" t="s">
        <v>3791</v>
      </c>
      <c r="D345" s="195" t="s">
        <v>3788</v>
      </c>
      <c r="E345" s="195" t="s">
        <v>3580</v>
      </c>
      <c r="F345" s="195" t="s">
        <v>3789</v>
      </c>
    </row>
    <row r="346" spans="1:6" x14ac:dyDescent="0.35">
      <c r="A346" s="195" t="s">
        <v>3370</v>
      </c>
      <c r="B346" s="64">
        <v>2023</v>
      </c>
      <c r="C346" s="195" t="s">
        <v>3792</v>
      </c>
      <c r="D346" s="195" t="s">
        <v>3788</v>
      </c>
      <c r="E346" s="195" t="s">
        <v>3580</v>
      </c>
      <c r="F346" s="195" t="s">
        <v>3789</v>
      </c>
    </row>
    <row r="347" spans="1:6" x14ac:dyDescent="0.35">
      <c r="A347" s="195" t="s">
        <v>3371</v>
      </c>
      <c r="B347" s="64">
        <v>4703</v>
      </c>
      <c r="C347" s="195" t="s">
        <v>3793</v>
      </c>
      <c r="D347" s="195" t="s">
        <v>3788</v>
      </c>
      <c r="E347" s="195" t="s">
        <v>3580</v>
      </c>
      <c r="F347" s="195" t="s">
        <v>3789</v>
      </c>
    </row>
    <row r="348" spans="1:6" x14ac:dyDescent="0.35">
      <c r="A348" s="195" t="s">
        <v>3372</v>
      </c>
      <c r="B348" s="64">
        <v>12202</v>
      </c>
      <c r="C348" s="195" t="s">
        <v>3794</v>
      </c>
      <c r="D348" s="195" t="s">
        <v>3788</v>
      </c>
      <c r="E348" s="195" t="s">
        <v>3580</v>
      </c>
      <c r="F348" s="195" t="s">
        <v>3789</v>
      </c>
    </row>
    <row r="349" spans="1:6" x14ac:dyDescent="0.35">
      <c r="A349" s="195" t="s">
        <v>3373</v>
      </c>
      <c r="B349" s="64">
        <v>7952</v>
      </c>
      <c r="C349" s="195" t="s">
        <v>3795</v>
      </c>
      <c r="D349" s="195" t="s">
        <v>3788</v>
      </c>
      <c r="E349" s="195" t="s">
        <v>3580</v>
      </c>
      <c r="F349" s="195" t="s">
        <v>3789</v>
      </c>
    </row>
    <row r="350" spans="1:6" x14ac:dyDescent="0.35">
      <c r="A350" s="195" t="s">
        <v>3374</v>
      </c>
      <c r="B350" s="64">
        <v>6367</v>
      </c>
      <c r="C350" s="195" t="s">
        <v>3796</v>
      </c>
      <c r="D350" s="195" t="s">
        <v>3788</v>
      </c>
      <c r="E350" s="195" t="s">
        <v>3580</v>
      </c>
      <c r="F350" s="195" t="s">
        <v>3789</v>
      </c>
    </row>
    <row r="351" spans="1:6" x14ac:dyDescent="0.35">
      <c r="A351" s="195" t="s">
        <v>3375</v>
      </c>
      <c r="B351" s="64">
        <v>6423</v>
      </c>
      <c r="C351" s="195" t="s">
        <v>3797</v>
      </c>
      <c r="D351" s="195" t="s">
        <v>3788</v>
      </c>
      <c r="E351" s="195" t="s">
        <v>3580</v>
      </c>
      <c r="F351" s="195" t="s">
        <v>3789</v>
      </c>
    </row>
    <row r="352" spans="1:6" x14ac:dyDescent="0.35">
      <c r="A352" s="195" t="s">
        <v>3376</v>
      </c>
      <c r="B352" s="64">
        <v>7038</v>
      </c>
      <c r="C352" s="195" t="s">
        <v>3798</v>
      </c>
      <c r="D352" s="195" t="s">
        <v>3788</v>
      </c>
      <c r="E352" s="195" t="s">
        <v>3580</v>
      </c>
      <c r="F352" s="195" t="s">
        <v>3789</v>
      </c>
    </row>
    <row r="353" spans="1:6" x14ac:dyDescent="0.35">
      <c r="A353" s="195" t="s">
        <v>3377</v>
      </c>
      <c r="B353" s="64">
        <v>6483</v>
      </c>
      <c r="C353" s="195" t="s">
        <v>3799</v>
      </c>
      <c r="D353" s="195" t="s">
        <v>3788</v>
      </c>
      <c r="E353" s="195" t="s">
        <v>3580</v>
      </c>
      <c r="F353" s="195" t="s">
        <v>3789</v>
      </c>
    </row>
    <row r="354" spans="1:6" x14ac:dyDescent="0.35">
      <c r="A354" s="195" t="s">
        <v>3378</v>
      </c>
      <c r="B354" s="64">
        <v>8647</v>
      </c>
      <c r="C354" s="195" t="s">
        <v>3800</v>
      </c>
      <c r="D354" s="195" t="s">
        <v>3788</v>
      </c>
      <c r="E354" s="195" t="s">
        <v>3580</v>
      </c>
      <c r="F354" s="195" t="s">
        <v>3789</v>
      </c>
    </row>
    <row r="355" spans="1:6" x14ac:dyDescent="0.35">
      <c r="A355" s="195" t="s">
        <v>3379</v>
      </c>
      <c r="B355" s="64">
        <v>8967</v>
      </c>
      <c r="C355" s="195" t="s">
        <v>3801</v>
      </c>
      <c r="D355" s="195" t="s">
        <v>3788</v>
      </c>
      <c r="E355" s="195" t="s">
        <v>3580</v>
      </c>
      <c r="F355" s="195" t="s">
        <v>3789</v>
      </c>
    </row>
    <row r="356" spans="1:6" x14ac:dyDescent="0.35">
      <c r="A356" s="195" t="s">
        <v>3380</v>
      </c>
      <c r="B356" s="64">
        <v>14589</v>
      </c>
      <c r="C356" s="195" t="s">
        <v>3802</v>
      </c>
      <c r="D356" s="195" t="s">
        <v>3788</v>
      </c>
      <c r="E356" s="195" t="s">
        <v>3580</v>
      </c>
      <c r="F356" s="195" t="s">
        <v>3789</v>
      </c>
    </row>
    <row r="357" spans="1:6" x14ac:dyDescent="0.35">
      <c r="A357" s="195" t="s">
        <v>3381</v>
      </c>
      <c r="B357" s="64">
        <v>17451</v>
      </c>
      <c r="C357" s="195" t="s">
        <v>3803</v>
      </c>
      <c r="D357" s="195" t="s">
        <v>3788</v>
      </c>
      <c r="E357" s="195" t="s">
        <v>3580</v>
      </c>
      <c r="F357" s="195" t="s">
        <v>3789</v>
      </c>
    </row>
    <row r="358" spans="1:6" x14ac:dyDescent="0.35">
      <c r="A358" s="195" t="s">
        <v>3382</v>
      </c>
      <c r="B358" s="64">
        <v>23424</v>
      </c>
      <c r="C358" s="195" t="s">
        <v>3804</v>
      </c>
      <c r="D358" s="195" t="s">
        <v>3788</v>
      </c>
      <c r="E358" s="195" t="s">
        <v>3580</v>
      </c>
      <c r="F358" s="195" t="s">
        <v>3789</v>
      </c>
    </row>
    <row r="359" spans="1:6" x14ac:dyDescent="0.35">
      <c r="A359" s="195" t="s">
        <v>3383</v>
      </c>
      <c r="B359" s="64">
        <v>25266</v>
      </c>
      <c r="C359" s="195" t="s">
        <v>3805</v>
      </c>
      <c r="D359" s="195" t="s">
        <v>3788</v>
      </c>
      <c r="E359" s="195" t="s">
        <v>3580</v>
      </c>
      <c r="F359" s="195" t="s">
        <v>3789</v>
      </c>
    </row>
    <row r="360" spans="1:6" x14ac:dyDescent="0.35">
      <c r="A360" s="195" t="s">
        <v>3384</v>
      </c>
      <c r="B360" s="64">
        <v>58472</v>
      </c>
      <c r="C360" s="195" t="s">
        <v>3806</v>
      </c>
      <c r="D360" s="195" t="s">
        <v>3788</v>
      </c>
      <c r="E360" s="195" t="s">
        <v>3580</v>
      </c>
      <c r="F360" s="195" t="s">
        <v>3789</v>
      </c>
    </row>
    <row r="361" spans="1:6" x14ac:dyDescent="0.35">
      <c r="A361" s="195" t="s">
        <v>3385</v>
      </c>
      <c r="B361" s="64">
        <v>57362</v>
      </c>
      <c r="C361" s="195" t="s">
        <v>3807</v>
      </c>
      <c r="D361" s="195" t="s">
        <v>3788</v>
      </c>
      <c r="E361" s="195" t="s">
        <v>3580</v>
      </c>
      <c r="F361" s="195" t="s">
        <v>3789</v>
      </c>
    </row>
    <row r="362" spans="1:6" x14ac:dyDescent="0.35">
      <c r="A362" s="195" t="s">
        <v>3386</v>
      </c>
      <c r="B362" s="64">
        <v>106021</v>
      </c>
      <c r="C362" s="195" t="s">
        <v>3808</v>
      </c>
      <c r="D362" s="195" t="s">
        <v>3788</v>
      </c>
      <c r="E362" s="195" t="s">
        <v>3580</v>
      </c>
      <c r="F362" s="195" t="s">
        <v>3789</v>
      </c>
    </row>
    <row r="363" spans="1:6" x14ac:dyDescent="0.35">
      <c r="A363" s="195" t="s">
        <v>3387</v>
      </c>
      <c r="B363" s="64">
        <v>62947</v>
      </c>
      <c r="C363" s="195" t="s">
        <v>3809</v>
      </c>
      <c r="D363" s="195" t="s">
        <v>3788</v>
      </c>
      <c r="E363" s="195" t="s">
        <v>3580</v>
      </c>
      <c r="F363" s="195" t="s">
        <v>3789</v>
      </c>
    </row>
    <row r="364" spans="1:6" x14ac:dyDescent="0.35">
      <c r="A364" s="195" t="s">
        <v>3388</v>
      </c>
      <c r="B364" s="64">
        <v>76142</v>
      </c>
      <c r="C364" s="195" t="s">
        <v>3810</v>
      </c>
      <c r="D364" s="195" t="s">
        <v>3788</v>
      </c>
      <c r="E364" s="195" t="s">
        <v>3580</v>
      </c>
      <c r="F364" s="195" t="s">
        <v>3789</v>
      </c>
    </row>
    <row r="365" spans="1:6" x14ac:dyDescent="0.35">
      <c r="A365" s="195" t="s">
        <v>3389</v>
      </c>
      <c r="B365" s="64">
        <v>28895</v>
      </c>
      <c r="C365" s="195" t="s">
        <v>3811</v>
      </c>
      <c r="D365" s="195" t="s">
        <v>3788</v>
      </c>
      <c r="E365" s="195" t="s">
        <v>3580</v>
      </c>
      <c r="F365" s="195" t="s">
        <v>3789</v>
      </c>
    </row>
    <row r="366" spans="1:6" x14ac:dyDescent="0.35">
      <c r="A366" s="195" t="s">
        <v>3390</v>
      </c>
      <c r="B366" s="64">
        <v>11925</v>
      </c>
      <c r="C366" s="195" t="s">
        <v>3812</v>
      </c>
      <c r="D366" s="195" t="s">
        <v>3788</v>
      </c>
      <c r="E366" s="195" t="s">
        <v>3580</v>
      </c>
      <c r="F366" s="195" t="s">
        <v>3789</v>
      </c>
    </row>
    <row r="367" spans="1:6" x14ac:dyDescent="0.35">
      <c r="A367" s="195" t="s">
        <v>3391</v>
      </c>
      <c r="B367" s="64">
        <v>5782</v>
      </c>
      <c r="C367" s="195" t="s">
        <v>3813</v>
      </c>
      <c r="D367" s="195" t="s">
        <v>3788</v>
      </c>
      <c r="E367" s="195" t="s">
        <v>3580</v>
      </c>
      <c r="F367" s="195" t="s">
        <v>3789</v>
      </c>
    </row>
    <row r="368" spans="1:6" x14ac:dyDescent="0.35">
      <c r="A368" s="195" t="s">
        <v>3392</v>
      </c>
      <c r="B368" s="64">
        <v>3238</v>
      </c>
      <c r="C368" s="195" t="s">
        <v>3814</v>
      </c>
      <c r="D368" s="195" t="s">
        <v>3788</v>
      </c>
      <c r="E368" s="195" t="s">
        <v>3580</v>
      </c>
      <c r="F368" s="195" t="s">
        <v>3789</v>
      </c>
    </row>
    <row r="369" spans="1:6" x14ac:dyDescent="0.35">
      <c r="A369" s="195" t="s">
        <v>3393</v>
      </c>
      <c r="B369" s="64">
        <v>15037</v>
      </c>
      <c r="C369" s="195" t="s">
        <v>3815</v>
      </c>
      <c r="D369" s="195" t="s">
        <v>3788</v>
      </c>
      <c r="E369" s="195" t="s">
        <v>3580</v>
      </c>
      <c r="F369" s="195" t="s">
        <v>3789</v>
      </c>
    </row>
    <row r="370" spans="1:6" x14ac:dyDescent="0.35">
      <c r="A370" s="195" t="s">
        <v>3365</v>
      </c>
      <c r="B370" s="64">
        <v>234500</v>
      </c>
      <c r="C370" s="195" t="s">
        <v>3816</v>
      </c>
      <c r="D370" s="195" t="s">
        <v>3817</v>
      </c>
      <c r="E370" s="195" t="s">
        <v>3580</v>
      </c>
      <c r="F370" s="195" t="s">
        <v>3818</v>
      </c>
    </row>
    <row r="371" spans="1:6" x14ac:dyDescent="0.35">
      <c r="A371" s="195" t="s">
        <v>3394</v>
      </c>
      <c r="B371" s="64">
        <v>1046789</v>
      </c>
      <c r="C371" s="195" t="s">
        <v>26</v>
      </c>
      <c r="D371" s="195" t="s">
        <v>3819</v>
      </c>
      <c r="E371" s="195" t="s">
        <v>3580</v>
      </c>
      <c r="F371" s="195" t="s">
        <v>3820</v>
      </c>
    </row>
    <row r="372" spans="1:6" x14ac:dyDescent="0.35">
      <c r="A372" s="195" t="s">
        <v>3395</v>
      </c>
      <c r="B372" s="64">
        <v>466587</v>
      </c>
      <c r="C372" s="195" t="s">
        <v>3749</v>
      </c>
      <c r="D372" s="195" t="s">
        <v>3819</v>
      </c>
      <c r="E372" s="195" t="s">
        <v>3580</v>
      </c>
      <c r="F372" s="195" t="s">
        <v>3820</v>
      </c>
    </row>
    <row r="373" spans="1:6" x14ac:dyDescent="0.35">
      <c r="A373" s="195" t="s">
        <v>3396</v>
      </c>
      <c r="B373" s="64">
        <v>148501</v>
      </c>
      <c r="C373" s="195" t="s">
        <v>3821</v>
      </c>
      <c r="D373" s="195" t="s">
        <v>3819</v>
      </c>
      <c r="E373" s="195" t="s">
        <v>3580</v>
      </c>
      <c r="F373" s="195" t="s">
        <v>3820</v>
      </c>
    </row>
    <row r="374" spans="1:6" x14ac:dyDescent="0.35">
      <c r="A374" s="195" t="s">
        <v>3397</v>
      </c>
      <c r="B374" s="64">
        <v>4908</v>
      </c>
      <c r="C374" s="195" t="s">
        <v>3822</v>
      </c>
      <c r="D374" s="195" t="s">
        <v>3819</v>
      </c>
      <c r="E374" s="195" t="s">
        <v>3580</v>
      </c>
      <c r="F374" s="195" t="s">
        <v>3820</v>
      </c>
    </row>
    <row r="375" spans="1:6" x14ac:dyDescent="0.35">
      <c r="A375" s="195" t="s">
        <v>3398</v>
      </c>
      <c r="B375" s="195">
        <v>179</v>
      </c>
      <c r="C375" s="195" t="s">
        <v>3823</v>
      </c>
      <c r="D375" s="195" t="s">
        <v>3819</v>
      </c>
      <c r="E375" s="195" t="s">
        <v>3580</v>
      </c>
      <c r="F375" s="195" t="s">
        <v>3820</v>
      </c>
    </row>
    <row r="376" spans="1:6" x14ac:dyDescent="0.35">
      <c r="A376" s="195" t="s">
        <v>3399</v>
      </c>
      <c r="B376" s="195">
        <v>0</v>
      </c>
      <c r="C376" s="195" t="s">
        <v>3824</v>
      </c>
      <c r="D376" s="195" t="s">
        <v>3819</v>
      </c>
      <c r="E376" s="195" t="s">
        <v>3580</v>
      </c>
      <c r="F376" s="195" t="s">
        <v>3820</v>
      </c>
    </row>
    <row r="377" spans="1:6" x14ac:dyDescent="0.35">
      <c r="A377" s="195" t="s">
        <v>3400</v>
      </c>
      <c r="B377" s="64">
        <v>312999</v>
      </c>
      <c r="C377" s="195" t="s">
        <v>3825</v>
      </c>
      <c r="D377" s="195" t="s">
        <v>3819</v>
      </c>
      <c r="E377" s="195" t="s">
        <v>3580</v>
      </c>
      <c r="F377" s="195" t="s">
        <v>3820</v>
      </c>
    </row>
    <row r="378" spans="1:6" x14ac:dyDescent="0.35">
      <c r="A378" s="195" t="s">
        <v>3401</v>
      </c>
      <c r="B378" s="64">
        <v>580202</v>
      </c>
      <c r="C378" s="195" t="s">
        <v>3760</v>
      </c>
      <c r="D378" s="195" t="s">
        <v>3819</v>
      </c>
      <c r="E378" s="195" t="s">
        <v>3580</v>
      </c>
      <c r="F378" s="195" t="s">
        <v>3820</v>
      </c>
    </row>
    <row r="379" spans="1:6" x14ac:dyDescent="0.35">
      <c r="A379" s="195" t="s">
        <v>3402</v>
      </c>
      <c r="B379" s="64">
        <v>264673</v>
      </c>
      <c r="C379" s="195" t="s">
        <v>3826</v>
      </c>
      <c r="D379" s="195" t="s">
        <v>3819</v>
      </c>
      <c r="E379" s="195" t="s">
        <v>3580</v>
      </c>
      <c r="F379" s="195" t="s">
        <v>3820</v>
      </c>
    </row>
    <row r="380" spans="1:6" x14ac:dyDescent="0.35">
      <c r="A380" s="195" t="s">
        <v>3403</v>
      </c>
      <c r="B380" s="64">
        <v>18049</v>
      </c>
      <c r="C380" s="195" t="s">
        <v>3827</v>
      </c>
      <c r="D380" s="195" t="s">
        <v>3819</v>
      </c>
      <c r="E380" s="195" t="s">
        <v>3580</v>
      </c>
      <c r="F380" s="195" t="s">
        <v>3820</v>
      </c>
    </row>
    <row r="381" spans="1:6" x14ac:dyDescent="0.35">
      <c r="A381" s="195" t="s">
        <v>3404</v>
      </c>
      <c r="B381" s="64">
        <v>1129</v>
      </c>
      <c r="C381" s="195" t="s">
        <v>3828</v>
      </c>
      <c r="D381" s="195" t="s">
        <v>3819</v>
      </c>
      <c r="E381" s="195" t="s">
        <v>3580</v>
      </c>
      <c r="F381" s="195" t="s">
        <v>3820</v>
      </c>
    </row>
    <row r="382" spans="1:6" x14ac:dyDescent="0.35">
      <c r="A382" s="195" t="s">
        <v>3405</v>
      </c>
      <c r="B382" s="195">
        <v>4</v>
      </c>
      <c r="C382" s="195" t="s">
        <v>3829</v>
      </c>
      <c r="D382" s="195" t="s">
        <v>3819</v>
      </c>
      <c r="E382" s="195" t="s">
        <v>3580</v>
      </c>
      <c r="F382" s="195" t="s">
        <v>3820</v>
      </c>
    </row>
    <row r="383" spans="1:6" x14ac:dyDescent="0.35">
      <c r="A383" s="195" t="s">
        <v>3406</v>
      </c>
      <c r="B383" s="64">
        <v>296347</v>
      </c>
      <c r="C383" s="195" t="s">
        <v>3830</v>
      </c>
      <c r="D383" s="195" t="s">
        <v>3819</v>
      </c>
      <c r="E383" s="195" t="s">
        <v>3580</v>
      </c>
      <c r="F383" s="195" t="s">
        <v>3820</v>
      </c>
    </row>
    <row r="384" spans="1:6" x14ac:dyDescent="0.35">
      <c r="A384" s="195" t="s">
        <v>3832</v>
      </c>
      <c r="B384" s="64">
        <v>526707</v>
      </c>
      <c r="C384" s="195" t="s">
        <v>3837</v>
      </c>
      <c r="D384" s="195" t="s">
        <v>3842</v>
      </c>
      <c r="E384" s="195" t="s">
        <v>3580</v>
      </c>
      <c r="F384" s="195" t="s">
        <v>3843</v>
      </c>
    </row>
    <row r="385" spans="1:6" x14ac:dyDescent="0.35">
      <c r="A385" s="195" t="s">
        <v>3833</v>
      </c>
      <c r="B385" s="64">
        <v>260544</v>
      </c>
      <c r="C385" s="195" t="s">
        <v>3838</v>
      </c>
      <c r="D385" s="195" t="s">
        <v>3842</v>
      </c>
      <c r="E385" s="195" t="s">
        <v>3580</v>
      </c>
      <c r="F385" s="195" t="s">
        <v>3843</v>
      </c>
    </row>
    <row r="386" spans="1:6" x14ac:dyDescent="0.35">
      <c r="A386" s="195" t="s">
        <v>3834</v>
      </c>
      <c r="B386" s="64">
        <v>292536</v>
      </c>
      <c r="C386" s="195" t="s">
        <v>3839</v>
      </c>
      <c r="D386" s="195" t="s">
        <v>3842</v>
      </c>
      <c r="E386" s="195" t="s">
        <v>3580</v>
      </c>
      <c r="F386" s="195" t="s">
        <v>3843</v>
      </c>
    </row>
    <row r="387" spans="1:6" x14ac:dyDescent="0.35">
      <c r="A387" s="195" t="s">
        <v>3835</v>
      </c>
      <c r="B387" s="64">
        <v>68887</v>
      </c>
      <c r="C387" s="195" t="s">
        <v>3840</v>
      </c>
      <c r="D387" s="195" t="s">
        <v>3842</v>
      </c>
      <c r="E387" s="195" t="s">
        <v>3580</v>
      </c>
      <c r="F387" s="195" t="s">
        <v>3843</v>
      </c>
    </row>
    <row r="388" spans="1:6" x14ac:dyDescent="0.35">
      <c r="A388" s="195" t="s">
        <v>3836</v>
      </c>
      <c r="B388" s="64">
        <v>164771</v>
      </c>
      <c r="C388" s="195" t="s">
        <v>3841</v>
      </c>
      <c r="D388" s="195" t="s">
        <v>3842</v>
      </c>
      <c r="E388" s="195" t="s">
        <v>3580</v>
      </c>
      <c r="F388" s="195" t="s">
        <v>3843</v>
      </c>
    </row>
    <row r="390" spans="1:6" x14ac:dyDescent="0.35">
      <c r="A390" s="195" t="s">
        <v>4094</v>
      </c>
      <c r="B390" s="195" t="str">
        <f>"=VLOOKUP("""&amp;A390&amp;""",'ACS 2017'!$A$1:$F$388,2,FALSE) "</f>
        <v xml:space="preserve">=VLOOKUP("b20004_002",'ACS 2017'!$A$1:$F$388,2,FALSE) </v>
      </c>
    </row>
    <row r="391" spans="1:6" x14ac:dyDescent="0.35">
      <c r="A391" s="195" t="s">
        <v>4095</v>
      </c>
      <c r="B391" s="195" t="str">
        <f t="shared" ref="B391:B394" si="0">"=VLOOKUP("""&amp;A391&amp;""",'ACS 2017'!$A$1:$F$388,2,FALSE) "</f>
        <v xml:space="preserve">=VLOOKUP("b20004_003",'ACS 2017'!$A$1:$F$388,2,FALSE) </v>
      </c>
    </row>
    <row r="392" spans="1:6" x14ac:dyDescent="0.35">
      <c r="A392" s="195" t="s">
        <v>4096</v>
      </c>
      <c r="B392" s="195" t="str">
        <f t="shared" si="0"/>
        <v xml:space="preserve">=VLOOKUP("b20004_004",'ACS 2017'!$A$1:$F$388,2,FALSE) </v>
      </c>
    </row>
    <row r="393" spans="1:6" x14ac:dyDescent="0.35">
      <c r="A393" s="195" t="s">
        <v>4097</v>
      </c>
      <c r="B393" s="195" t="str">
        <f t="shared" si="0"/>
        <v xml:space="preserve">=VLOOKUP("b20004_005",'ACS 2017'!$A$1:$F$388,2,FALSE) </v>
      </c>
    </row>
    <row r="394" spans="1:6" x14ac:dyDescent="0.35">
      <c r="A394" s="195" t="s">
        <v>4098</v>
      </c>
      <c r="B394" s="195" t="str">
        <f t="shared" si="0"/>
        <v xml:space="preserve">=VLOOKUP("b20004_006",'ACS 2017'!$A$1:$F$388,2,FALSE) </v>
      </c>
    </row>
    <row r="401" spans="2:388" x14ac:dyDescent="0.35">
      <c r="B401" s="64"/>
      <c r="C401" s="64"/>
      <c r="D401" s="64"/>
      <c r="E401" s="64"/>
      <c r="F401" s="64"/>
      <c r="G401" s="64"/>
      <c r="H401" s="64"/>
      <c r="I401" s="64"/>
      <c r="J401" s="64"/>
      <c r="K401" s="64"/>
      <c r="L401" s="64"/>
      <c r="M401" s="64"/>
      <c r="N401" s="64"/>
      <c r="P401" s="64"/>
      <c r="Q401" s="64"/>
      <c r="R401" s="64"/>
      <c r="S401" s="64"/>
      <c r="T401" s="64"/>
      <c r="U401" s="64"/>
      <c r="V401" s="64"/>
      <c r="W401" s="64"/>
      <c r="X401" s="64"/>
      <c r="Y401" s="64"/>
      <c r="Z401" s="64"/>
      <c r="AA401" s="64"/>
      <c r="AB401" s="64"/>
      <c r="AC401" s="64"/>
      <c r="AD401" s="64"/>
      <c r="AE401" s="64"/>
      <c r="AG401" s="64"/>
      <c r="AH401" s="64"/>
      <c r="AI401" s="64"/>
      <c r="AJ401" s="64"/>
      <c r="AK401" s="64"/>
      <c r="AL401" s="64"/>
      <c r="AM401" s="64"/>
      <c r="AN401" s="64"/>
      <c r="AO401" s="64"/>
      <c r="AP401" s="64"/>
      <c r="AQ401" s="64"/>
      <c r="AR401" s="64"/>
      <c r="AS401" s="64"/>
      <c r="AT401" s="64"/>
      <c r="AU401" s="64"/>
      <c r="AV401" s="64"/>
      <c r="AW401" s="64"/>
      <c r="AX401" s="64"/>
      <c r="AY401" s="64"/>
      <c r="AZ401" s="64"/>
      <c r="BA401" s="64"/>
      <c r="BB401" s="64"/>
      <c r="BC401" s="64"/>
      <c r="BD401" s="64"/>
      <c r="BE401" s="64"/>
      <c r="BF401" s="64"/>
      <c r="BG401" s="64"/>
      <c r="BH401" s="64"/>
      <c r="BI401" s="64"/>
      <c r="BJ401" s="64"/>
      <c r="BK401" s="64"/>
      <c r="BN401" s="64"/>
      <c r="BO401" s="64"/>
      <c r="BP401" s="64"/>
      <c r="BQ401" s="64"/>
      <c r="BR401" s="64"/>
      <c r="BT401" s="64"/>
      <c r="BU401" s="64"/>
      <c r="BV401" s="64"/>
      <c r="BW401" s="64"/>
      <c r="BX401" s="64"/>
      <c r="BY401" s="64"/>
      <c r="BZ401" s="64"/>
      <c r="CA401" s="64"/>
      <c r="CB401" s="64"/>
      <c r="CC401" s="64"/>
      <c r="CD401" s="64"/>
      <c r="CE401" s="64"/>
      <c r="CF401" s="64"/>
      <c r="CG401" s="64"/>
      <c r="CH401" s="64"/>
      <c r="CI401" s="64"/>
      <c r="CJ401" s="64"/>
      <c r="CK401" s="64"/>
      <c r="CL401" s="64"/>
      <c r="CM401" s="64"/>
      <c r="CN401" s="64"/>
      <c r="CO401" s="64"/>
      <c r="CP401" s="64"/>
      <c r="CQ401" s="64"/>
      <c r="CR401" s="64"/>
      <c r="CS401" s="64"/>
      <c r="CT401" s="64"/>
      <c r="CU401" s="64"/>
      <c r="CV401" s="64"/>
      <c r="CW401" s="64"/>
      <c r="CY401" s="64"/>
      <c r="CZ401" s="64"/>
      <c r="DA401" s="64"/>
      <c r="DB401" s="64"/>
      <c r="DC401" s="64"/>
      <c r="DD401" s="64"/>
      <c r="DF401" s="64"/>
      <c r="DG401" s="64"/>
      <c r="DH401" s="64"/>
      <c r="DI401" s="64"/>
      <c r="DJ401" s="64"/>
      <c r="DK401" s="64"/>
      <c r="DM401" s="64"/>
      <c r="DN401" s="64"/>
      <c r="DO401" s="64"/>
      <c r="DP401" s="64"/>
      <c r="DQ401" s="64"/>
      <c r="DR401" s="64"/>
      <c r="DT401" s="64"/>
      <c r="DU401" s="64"/>
      <c r="DV401" s="64"/>
      <c r="DW401" s="64"/>
      <c r="DX401" s="64"/>
      <c r="DY401" s="64"/>
      <c r="EA401" s="64"/>
      <c r="EB401" s="64"/>
      <c r="EC401" s="64"/>
      <c r="ED401" s="64"/>
      <c r="EE401" s="64"/>
      <c r="EF401" s="64"/>
      <c r="EH401" s="64"/>
      <c r="EI401" s="64"/>
      <c r="EJ401" s="64"/>
      <c r="EK401" s="64"/>
      <c r="EL401" s="64"/>
      <c r="EM401" s="64"/>
      <c r="EO401" s="64"/>
      <c r="EP401" s="64"/>
      <c r="EQ401" s="64"/>
      <c r="ER401" s="64"/>
      <c r="ES401" s="64"/>
      <c r="ET401" s="64"/>
      <c r="EV401" s="64"/>
      <c r="EW401" s="64"/>
      <c r="EX401" s="64"/>
      <c r="EY401" s="64"/>
      <c r="EZ401" s="64"/>
      <c r="FA401" s="64"/>
      <c r="FC401" s="64"/>
      <c r="FD401" s="64"/>
      <c r="FE401" s="64"/>
      <c r="FF401" s="64"/>
      <c r="FG401" s="64"/>
      <c r="FH401" s="64"/>
      <c r="FJ401" s="64"/>
      <c r="FK401" s="64"/>
      <c r="FL401" s="64"/>
      <c r="FM401" s="64"/>
      <c r="FN401" s="64"/>
      <c r="FO401" s="64"/>
      <c r="FP401" s="64"/>
      <c r="FR401" s="64"/>
      <c r="FS401" s="64"/>
      <c r="FT401" s="64"/>
      <c r="FU401" s="64"/>
      <c r="FV401" s="64"/>
      <c r="FW401" s="64"/>
      <c r="FY401" s="64"/>
      <c r="FZ401" s="64"/>
      <c r="GA401" s="64"/>
      <c r="GB401" s="64"/>
      <c r="GC401" s="64"/>
      <c r="GD401" s="64"/>
      <c r="GF401" s="64"/>
      <c r="GG401" s="64"/>
      <c r="GH401" s="64"/>
      <c r="GI401" s="64"/>
      <c r="GJ401" s="64"/>
      <c r="GK401" s="64"/>
      <c r="GM401" s="64"/>
      <c r="GN401" s="64"/>
      <c r="GO401" s="64"/>
      <c r="GP401" s="64"/>
      <c r="GQ401" s="64"/>
      <c r="GR401" s="64"/>
      <c r="GT401" s="64"/>
      <c r="GU401" s="64"/>
      <c r="GV401" s="64"/>
      <c r="GW401" s="64"/>
      <c r="GX401" s="64"/>
      <c r="GY401" s="64"/>
      <c r="HA401" s="64"/>
      <c r="HB401" s="64"/>
      <c r="HC401" s="64"/>
      <c r="HD401" s="64"/>
      <c r="HE401" s="64"/>
      <c r="HF401" s="64"/>
      <c r="HH401" s="64"/>
      <c r="HI401" s="64"/>
      <c r="HJ401" s="64"/>
      <c r="HK401" s="64"/>
      <c r="HL401" s="64"/>
      <c r="HM401" s="64"/>
      <c r="HO401" s="64"/>
      <c r="HP401" s="64"/>
      <c r="HQ401" s="64"/>
      <c r="HR401" s="64"/>
      <c r="HS401" s="64"/>
      <c r="HT401" s="64"/>
      <c r="HV401" s="64"/>
      <c r="HW401" s="64"/>
      <c r="HX401" s="64"/>
      <c r="HY401" s="64"/>
      <c r="HZ401" s="64"/>
      <c r="IA401" s="64"/>
      <c r="IC401" s="64"/>
      <c r="ID401" s="64"/>
      <c r="IE401" s="64"/>
      <c r="IF401" s="64"/>
      <c r="IG401" s="64"/>
      <c r="IH401" s="64"/>
      <c r="II401" s="64"/>
      <c r="IJ401" s="64"/>
      <c r="IK401" s="64"/>
      <c r="IL401" s="64"/>
      <c r="IM401" s="64"/>
      <c r="IN401" s="64"/>
      <c r="IO401" s="64"/>
      <c r="IP401" s="64"/>
      <c r="IQ401" s="64"/>
      <c r="IR401" s="64"/>
      <c r="IS401" s="64"/>
      <c r="IT401" s="64"/>
      <c r="IU401" s="64"/>
      <c r="IV401" s="64"/>
      <c r="IX401" s="64"/>
      <c r="IY401" s="64"/>
      <c r="IZ401" s="64"/>
      <c r="JA401" s="64"/>
      <c r="JB401" s="64"/>
      <c r="JC401" s="64"/>
      <c r="JE401" s="64"/>
      <c r="JF401" s="64"/>
      <c r="JG401" s="64"/>
      <c r="JH401" s="64"/>
      <c r="JI401" s="64"/>
      <c r="JJ401" s="64"/>
      <c r="JL401" s="64"/>
      <c r="JM401" s="64"/>
      <c r="JN401" s="64"/>
      <c r="JO401" s="64"/>
      <c r="JP401" s="64"/>
      <c r="JQ401" s="64"/>
      <c r="JS401" s="64"/>
      <c r="JT401" s="64"/>
      <c r="JU401" s="64"/>
      <c r="JV401" s="64"/>
      <c r="JW401" s="64"/>
      <c r="JX401" s="64"/>
      <c r="JY401" s="64"/>
      <c r="JZ401" s="64"/>
      <c r="KA401" s="64"/>
      <c r="KB401" s="64"/>
      <c r="KC401" s="64"/>
      <c r="KD401" s="64"/>
      <c r="KE401" s="64"/>
      <c r="KF401" s="64"/>
      <c r="KG401" s="64"/>
      <c r="KH401" s="64"/>
      <c r="KI401" s="64"/>
      <c r="KJ401" s="64"/>
      <c r="KK401" s="64"/>
      <c r="KL401" s="64"/>
      <c r="KM401" s="64"/>
      <c r="KN401" s="64"/>
      <c r="KO401" s="64"/>
      <c r="KP401" s="64"/>
      <c r="KQ401" s="64"/>
      <c r="KR401" s="64"/>
      <c r="KS401" s="64"/>
      <c r="KT401" s="64"/>
      <c r="KU401" s="64"/>
      <c r="KV401" s="64"/>
      <c r="KW401" s="64"/>
      <c r="KX401" s="64"/>
      <c r="KY401" s="64"/>
      <c r="KZ401" s="64"/>
      <c r="LA401" s="64"/>
      <c r="LB401" s="64"/>
      <c r="LC401" s="64"/>
      <c r="LD401" s="64"/>
      <c r="LE401" s="64"/>
      <c r="LF401" s="64"/>
      <c r="LG401" s="64"/>
      <c r="LH401" s="64"/>
      <c r="LI401" s="64"/>
      <c r="LJ401" s="64"/>
      <c r="LK401" s="64"/>
      <c r="LL401" s="64"/>
      <c r="LM401" s="64"/>
      <c r="LN401" s="64"/>
      <c r="LO401" s="64"/>
      <c r="LP401" s="64"/>
      <c r="LQ401" s="64"/>
      <c r="LR401" s="64"/>
      <c r="LS401" s="64"/>
      <c r="LT401" s="64"/>
      <c r="LU401" s="64"/>
      <c r="LV401" s="64"/>
      <c r="LW401" s="64"/>
      <c r="LX401" s="64"/>
      <c r="LY401" s="64"/>
      <c r="LZ401" s="64"/>
      <c r="MA401" s="64"/>
      <c r="MB401" s="64"/>
      <c r="MC401" s="64"/>
      <c r="MD401" s="64"/>
      <c r="ME401" s="64"/>
      <c r="MF401" s="64"/>
      <c r="MG401" s="64"/>
      <c r="MH401" s="64"/>
      <c r="MI401" s="64"/>
      <c r="MJ401" s="64"/>
      <c r="MK401" s="64"/>
      <c r="ML401" s="64"/>
      <c r="MM401" s="64"/>
      <c r="MN401" s="64"/>
      <c r="MO401" s="64"/>
      <c r="MP401" s="64"/>
      <c r="MQ401" s="64"/>
      <c r="MR401" s="64"/>
      <c r="MS401" s="64"/>
      <c r="MT401" s="64"/>
      <c r="MU401" s="64"/>
      <c r="MV401" s="64"/>
      <c r="MW401" s="64"/>
      <c r="MX401" s="64"/>
      <c r="MY401" s="64"/>
      <c r="MZ401" s="64"/>
      <c r="NA401" s="64"/>
      <c r="NB401" s="64"/>
      <c r="NC401" s="64"/>
      <c r="ND401" s="64"/>
      <c r="NE401" s="64"/>
      <c r="NF401" s="64"/>
      <c r="NG401" s="64"/>
      <c r="NH401" s="64"/>
      <c r="NI401" s="64"/>
      <c r="NJ401" s="64"/>
      <c r="NK401" s="64"/>
      <c r="NL401" s="64"/>
      <c r="NM401" s="64"/>
      <c r="NN401" s="64"/>
      <c r="NO401" s="64"/>
      <c r="NP401" s="64"/>
      <c r="NQ401" s="64"/>
      <c r="NR401" s="64"/>
      <c r="NS401" s="64"/>
      <c r="NT401" s="64"/>
      <c r="NU401" s="64"/>
      <c r="NV401" s="64"/>
      <c r="NW401" s="64"/>
      <c r="NX401" s="64"/>
    </row>
  </sheetData>
  <autoFilter ref="A1:F388" xr:uid="{00000000-0009-0000-0000-000003000000}">
    <sortState xmlns:xlrd2="http://schemas.microsoft.com/office/spreadsheetml/2017/richdata2" ref="A2:F388">
      <sortCondition ref="A2:A388"/>
    </sortState>
  </autoFilter>
  <sortState xmlns:xlrd2="http://schemas.microsoft.com/office/spreadsheetml/2017/richdata2" ref="A404:B790">
    <sortCondition ref="A404:A790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94"/>
  <sheetViews>
    <sheetView topLeftCell="A276" workbookViewId="0">
      <selection activeCell="A304" sqref="A304"/>
    </sheetView>
  </sheetViews>
  <sheetFormatPr defaultColWidth="9.1796875" defaultRowHeight="14.5" x14ac:dyDescent="0.35"/>
  <cols>
    <col min="1" max="1" width="13.54296875" style="195" customWidth="1"/>
    <col min="2" max="2" width="9.1796875" style="195"/>
    <col min="3" max="3" width="77" style="195" bestFit="1" customWidth="1"/>
    <col min="4" max="4" width="94.7265625" style="195" customWidth="1"/>
    <col min="5" max="16384" width="9.1796875" style="195"/>
  </cols>
  <sheetData>
    <row r="1" spans="1:6" x14ac:dyDescent="0.35">
      <c r="A1" s="195" t="s">
        <v>3831</v>
      </c>
      <c r="B1" s="195">
        <v>17031</v>
      </c>
      <c r="C1" s="195" t="s">
        <v>3575</v>
      </c>
      <c r="D1" s="195" t="s">
        <v>3576</v>
      </c>
      <c r="E1" s="195" t="s">
        <v>3577</v>
      </c>
      <c r="F1" s="195" t="s">
        <v>3578</v>
      </c>
    </row>
    <row r="2" spans="1:6" x14ac:dyDescent="0.35">
      <c r="A2" s="195" t="s">
        <v>3336</v>
      </c>
      <c r="B2" s="64">
        <v>5238541</v>
      </c>
      <c r="C2" s="195" t="s">
        <v>26</v>
      </c>
      <c r="D2" s="195" t="s">
        <v>3579</v>
      </c>
      <c r="E2" s="195" t="s">
        <v>3580</v>
      </c>
      <c r="F2" s="195" t="s">
        <v>3581</v>
      </c>
    </row>
    <row r="3" spans="1:6" x14ac:dyDescent="0.35">
      <c r="A3" s="195" t="s">
        <v>3844</v>
      </c>
      <c r="B3" s="64">
        <v>2360493</v>
      </c>
      <c r="C3" s="195" t="s">
        <v>26</v>
      </c>
      <c r="D3" s="195" t="s">
        <v>3857</v>
      </c>
      <c r="E3" s="195" t="s">
        <v>3580</v>
      </c>
      <c r="F3" s="195" t="s">
        <v>3858</v>
      </c>
    </row>
    <row r="4" spans="1:6" x14ac:dyDescent="0.35">
      <c r="A4" s="195" t="s">
        <v>3845</v>
      </c>
      <c r="B4" s="64">
        <v>28053</v>
      </c>
      <c r="C4" s="195" t="s">
        <v>3859</v>
      </c>
      <c r="D4" s="195" t="s">
        <v>3857</v>
      </c>
      <c r="E4" s="195" t="s">
        <v>3580</v>
      </c>
      <c r="F4" s="195" t="s">
        <v>3858</v>
      </c>
    </row>
    <row r="5" spans="1:6" x14ac:dyDescent="0.35">
      <c r="A5" s="195" t="s">
        <v>3846</v>
      </c>
      <c r="B5" s="64">
        <v>123637</v>
      </c>
      <c r="C5" s="195" t="s">
        <v>3860</v>
      </c>
      <c r="D5" s="195" t="s">
        <v>3857</v>
      </c>
      <c r="E5" s="195" t="s">
        <v>3580</v>
      </c>
      <c r="F5" s="195" t="s">
        <v>3858</v>
      </c>
    </row>
    <row r="6" spans="1:6" x14ac:dyDescent="0.35">
      <c r="A6" s="195" t="s">
        <v>3847</v>
      </c>
      <c r="B6" s="64">
        <v>206537</v>
      </c>
      <c r="C6" s="195" t="s">
        <v>3861</v>
      </c>
      <c r="D6" s="195" t="s">
        <v>3857</v>
      </c>
      <c r="E6" s="195" t="s">
        <v>3580</v>
      </c>
      <c r="F6" s="195" t="s">
        <v>3858</v>
      </c>
    </row>
    <row r="7" spans="1:6" x14ac:dyDescent="0.35">
      <c r="A7" s="195" t="s">
        <v>3848</v>
      </c>
      <c r="B7" s="64">
        <v>251962</v>
      </c>
      <c r="C7" s="195" t="s">
        <v>3862</v>
      </c>
      <c r="D7" s="195" t="s">
        <v>3857</v>
      </c>
      <c r="E7" s="195" t="s">
        <v>3580</v>
      </c>
      <c r="F7" s="195" t="s">
        <v>3858</v>
      </c>
    </row>
    <row r="8" spans="1:6" x14ac:dyDescent="0.35">
      <c r="A8" s="195" t="s">
        <v>3849</v>
      </c>
      <c r="B8" s="64">
        <v>290293</v>
      </c>
      <c r="C8" s="195" t="s">
        <v>3863</v>
      </c>
      <c r="D8" s="195" t="s">
        <v>3857</v>
      </c>
      <c r="E8" s="195" t="s">
        <v>3580</v>
      </c>
      <c r="F8" s="195" t="s">
        <v>3858</v>
      </c>
    </row>
    <row r="9" spans="1:6" x14ac:dyDescent="0.35">
      <c r="A9" s="195" t="s">
        <v>3850</v>
      </c>
      <c r="B9" s="64">
        <v>138827</v>
      </c>
      <c r="C9" s="195" t="s">
        <v>3864</v>
      </c>
      <c r="D9" s="195" t="s">
        <v>3857</v>
      </c>
      <c r="E9" s="195" t="s">
        <v>3580</v>
      </c>
      <c r="F9" s="195" t="s">
        <v>3858</v>
      </c>
    </row>
    <row r="10" spans="1:6" x14ac:dyDescent="0.35">
      <c r="A10" s="195" t="s">
        <v>3851</v>
      </c>
      <c r="B10" s="64">
        <v>410675</v>
      </c>
      <c r="C10" s="195" t="s">
        <v>3865</v>
      </c>
      <c r="D10" s="195" t="s">
        <v>3857</v>
      </c>
      <c r="E10" s="195" t="s">
        <v>3580</v>
      </c>
      <c r="F10" s="195" t="s">
        <v>3858</v>
      </c>
    </row>
    <row r="11" spans="1:6" x14ac:dyDescent="0.35">
      <c r="A11" s="195" t="s">
        <v>3852</v>
      </c>
      <c r="B11" s="64">
        <v>91136</v>
      </c>
      <c r="C11" s="195" t="s">
        <v>3866</v>
      </c>
      <c r="D11" s="195" t="s">
        <v>3857</v>
      </c>
      <c r="E11" s="195" t="s">
        <v>3580</v>
      </c>
      <c r="F11" s="195" t="s">
        <v>3858</v>
      </c>
    </row>
    <row r="12" spans="1:6" x14ac:dyDescent="0.35">
      <c r="A12" s="195" t="s">
        <v>3853</v>
      </c>
      <c r="B12" s="64">
        <v>152136</v>
      </c>
      <c r="C12" s="195" t="s">
        <v>3867</v>
      </c>
      <c r="D12" s="195" t="s">
        <v>3857</v>
      </c>
      <c r="E12" s="195" t="s">
        <v>3580</v>
      </c>
      <c r="F12" s="195" t="s">
        <v>3858</v>
      </c>
    </row>
    <row r="13" spans="1:6" x14ac:dyDescent="0.35">
      <c r="A13" s="195" t="s">
        <v>3854</v>
      </c>
      <c r="B13" s="64">
        <v>319318</v>
      </c>
      <c r="C13" s="195" t="s">
        <v>3868</v>
      </c>
      <c r="D13" s="195" t="s">
        <v>3857</v>
      </c>
      <c r="E13" s="195" t="s">
        <v>3580</v>
      </c>
      <c r="F13" s="195" t="s">
        <v>3858</v>
      </c>
    </row>
    <row r="14" spans="1:6" x14ac:dyDescent="0.35">
      <c r="A14" s="195" t="s">
        <v>3855</v>
      </c>
      <c r="B14" s="64">
        <v>272455</v>
      </c>
      <c r="C14" s="195" t="s">
        <v>3869</v>
      </c>
      <c r="D14" s="195" t="s">
        <v>3857</v>
      </c>
      <c r="E14" s="195" t="s">
        <v>3580</v>
      </c>
      <c r="F14" s="195" t="s">
        <v>3858</v>
      </c>
    </row>
    <row r="15" spans="1:6" x14ac:dyDescent="0.35">
      <c r="A15" s="195" t="s">
        <v>3856</v>
      </c>
      <c r="B15" s="64">
        <v>75464</v>
      </c>
      <c r="C15" s="195" t="s">
        <v>3870</v>
      </c>
      <c r="D15" s="195" t="s">
        <v>3857</v>
      </c>
      <c r="E15" s="195" t="s">
        <v>3580</v>
      </c>
      <c r="F15" s="195" t="s">
        <v>3858</v>
      </c>
    </row>
    <row r="16" spans="1:6" x14ac:dyDescent="0.35">
      <c r="A16" s="195" t="s">
        <v>3900</v>
      </c>
      <c r="B16" s="64">
        <v>4064766</v>
      </c>
      <c r="C16" s="195" t="s">
        <v>26</v>
      </c>
      <c r="D16" s="195" t="s">
        <v>4013</v>
      </c>
      <c r="E16" s="195" t="s">
        <v>3580</v>
      </c>
      <c r="F16" s="195" t="s">
        <v>4014</v>
      </c>
    </row>
    <row r="17" spans="1:6" x14ac:dyDescent="0.35">
      <c r="A17" s="195" t="s">
        <v>3901</v>
      </c>
      <c r="B17" s="64">
        <v>1944339</v>
      </c>
      <c r="C17" s="195" t="s">
        <v>3587</v>
      </c>
      <c r="D17" s="195" t="s">
        <v>4013</v>
      </c>
      <c r="E17" s="195" t="s">
        <v>3580</v>
      </c>
      <c r="F17" s="195" t="s">
        <v>4014</v>
      </c>
    </row>
    <row r="18" spans="1:6" x14ac:dyDescent="0.35">
      <c r="A18" s="195" t="s">
        <v>3902</v>
      </c>
      <c r="B18" s="64">
        <v>242590</v>
      </c>
      <c r="C18" s="195" t="s">
        <v>4015</v>
      </c>
      <c r="D18" s="195" t="s">
        <v>4013</v>
      </c>
      <c r="E18" s="195" t="s">
        <v>3580</v>
      </c>
      <c r="F18" s="195" t="s">
        <v>4014</v>
      </c>
    </row>
    <row r="19" spans="1:6" x14ac:dyDescent="0.35">
      <c r="A19" s="195" t="s">
        <v>3903</v>
      </c>
      <c r="B19" s="64">
        <v>4213</v>
      </c>
      <c r="C19" s="195" t="s">
        <v>4016</v>
      </c>
      <c r="D19" s="195" t="s">
        <v>4013</v>
      </c>
      <c r="E19" s="195" t="s">
        <v>3580</v>
      </c>
      <c r="F19" s="195" t="s">
        <v>4014</v>
      </c>
    </row>
    <row r="20" spans="1:6" x14ac:dyDescent="0.35">
      <c r="A20" s="195" t="s">
        <v>3904</v>
      </c>
      <c r="B20" s="64">
        <v>34551</v>
      </c>
      <c r="C20" s="195" t="s">
        <v>4017</v>
      </c>
      <c r="D20" s="195" t="s">
        <v>4013</v>
      </c>
      <c r="E20" s="195" t="s">
        <v>3580</v>
      </c>
      <c r="F20" s="195" t="s">
        <v>4014</v>
      </c>
    </row>
    <row r="21" spans="1:6" x14ac:dyDescent="0.35">
      <c r="A21" s="195" t="s">
        <v>3905</v>
      </c>
      <c r="B21" s="64">
        <v>70325</v>
      </c>
      <c r="C21" s="195" t="s">
        <v>4018</v>
      </c>
      <c r="D21" s="195" t="s">
        <v>4013</v>
      </c>
      <c r="E21" s="195" t="s">
        <v>3580</v>
      </c>
      <c r="F21" s="195" t="s">
        <v>4014</v>
      </c>
    </row>
    <row r="22" spans="1:6" x14ac:dyDescent="0.35">
      <c r="A22" s="195" t="s">
        <v>3906</v>
      </c>
      <c r="B22" s="64">
        <v>89485</v>
      </c>
      <c r="C22" s="195" t="s">
        <v>4019</v>
      </c>
      <c r="D22" s="195" t="s">
        <v>4013</v>
      </c>
      <c r="E22" s="195" t="s">
        <v>3580</v>
      </c>
      <c r="F22" s="195" t="s">
        <v>4014</v>
      </c>
    </row>
    <row r="23" spans="1:6" x14ac:dyDescent="0.35">
      <c r="A23" s="195" t="s">
        <v>3907</v>
      </c>
      <c r="B23" s="64">
        <v>9672</v>
      </c>
      <c r="C23" s="195" t="s">
        <v>4020</v>
      </c>
      <c r="D23" s="195" t="s">
        <v>4013</v>
      </c>
      <c r="E23" s="195" t="s">
        <v>3580</v>
      </c>
      <c r="F23" s="195" t="s">
        <v>4014</v>
      </c>
    </row>
    <row r="24" spans="1:6" x14ac:dyDescent="0.35">
      <c r="A24" s="195" t="s">
        <v>3908</v>
      </c>
      <c r="B24" s="64">
        <v>31334</v>
      </c>
      <c r="C24" s="195" t="s">
        <v>4021</v>
      </c>
      <c r="D24" s="195" t="s">
        <v>4013</v>
      </c>
      <c r="E24" s="195" t="s">
        <v>3580</v>
      </c>
      <c r="F24" s="195" t="s">
        <v>4014</v>
      </c>
    </row>
    <row r="25" spans="1:6" x14ac:dyDescent="0.35">
      <c r="A25" s="195" t="s">
        <v>3909</v>
      </c>
      <c r="B25" s="64">
        <v>3010</v>
      </c>
      <c r="C25" s="195" t="s">
        <v>4022</v>
      </c>
      <c r="D25" s="195" t="s">
        <v>4013</v>
      </c>
      <c r="E25" s="195" t="s">
        <v>3580</v>
      </c>
      <c r="F25" s="195" t="s">
        <v>4014</v>
      </c>
    </row>
    <row r="26" spans="1:6" x14ac:dyDescent="0.35">
      <c r="A26" s="195" t="s">
        <v>3910</v>
      </c>
      <c r="B26" s="64">
        <v>424362</v>
      </c>
      <c r="C26" s="195" t="s">
        <v>4023</v>
      </c>
      <c r="D26" s="195" t="s">
        <v>4013</v>
      </c>
      <c r="E26" s="195" t="s">
        <v>3580</v>
      </c>
      <c r="F26" s="195" t="s">
        <v>4014</v>
      </c>
    </row>
    <row r="27" spans="1:6" x14ac:dyDescent="0.35">
      <c r="A27" s="195" t="s">
        <v>3911</v>
      </c>
      <c r="B27" s="64">
        <v>15072</v>
      </c>
      <c r="C27" s="195" t="s">
        <v>4024</v>
      </c>
      <c r="D27" s="195" t="s">
        <v>4013</v>
      </c>
      <c r="E27" s="195" t="s">
        <v>3580</v>
      </c>
      <c r="F27" s="195" t="s">
        <v>4014</v>
      </c>
    </row>
    <row r="28" spans="1:6" x14ac:dyDescent="0.35">
      <c r="A28" s="195" t="s">
        <v>3912</v>
      </c>
      <c r="B28" s="64">
        <v>25493</v>
      </c>
      <c r="C28" s="195" t="s">
        <v>4025</v>
      </c>
      <c r="D28" s="195" t="s">
        <v>4013</v>
      </c>
      <c r="E28" s="195" t="s">
        <v>3580</v>
      </c>
      <c r="F28" s="195" t="s">
        <v>4014</v>
      </c>
    </row>
    <row r="29" spans="1:6" x14ac:dyDescent="0.35">
      <c r="A29" s="195" t="s">
        <v>3913</v>
      </c>
      <c r="B29" s="64">
        <v>88702</v>
      </c>
      <c r="C29" s="195" t="s">
        <v>4026</v>
      </c>
      <c r="D29" s="195" t="s">
        <v>4013</v>
      </c>
      <c r="E29" s="195" t="s">
        <v>3580</v>
      </c>
      <c r="F29" s="195" t="s">
        <v>4014</v>
      </c>
    </row>
    <row r="30" spans="1:6" x14ac:dyDescent="0.35">
      <c r="A30" s="195" t="s">
        <v>3914</v>
      </c>
      <c r="B30" s="64">
        <v>80426</v>
      </c>
      <c r="C30" s="195" t="s">
        <v>4027</v>
      </c>
      <c r="D30" s="195" t="s">
        <v>4013</v>
      </c>
      <c r="E30" s="195" t="s">
        <v>3580</v>
      </c>
      <c r="F30" s="195" t="s">
        <v>4014</v>
      </c>
    </row>
    <row r="31" spans="1:6" x14ac:dyDescent="0.35">
      <c r="A31" s="195" t="s">
        <v>3915</v>
      </c>
      <c r="B31" s="64">
        <v>25303</v>
      </c>
      <c r="C31" s="195" t="s">
        <v>4028</v>
      </c>
      <c r="D31" s="195" t="s">
        <v>4013</v>
      </c>
      <c r="E31" s="195" t="s">
        <v>3580</v>
      </c>
      <c r="F31" s="195" t="s">
        <v>4014</v>
      </c>
    </row>
    <row r="32" spans="1:6" x14ac:dyDescent="0.35">
      <c r="A32" s="195" t="s">
        <v>3916</v>
      </c>
      <c r="B32" s="64">
        <v>132786</v>
      </c>
      <c r="C32" s="195" t="s">
        <v>4029</v>
      </c>
      <c r="D32" s="195" t="s">
        <v>4013</v>
      </c>
      <c r="E32" s="195" t="s">
        <v>3580</v>
      </c>
      <c r="F32" s="195" t="s">
        <v>4014</v>
      </c>
    </row>
    <row r="33" spans="1:6" x14ac:dyDescent="0.35">
      <c r="A33" s="195" t="s">
        <v>3917</v>
      </c>
      <c r="B33" s="64">
        <v>56580</v>
      </c>
      <c r="C33" s="195" t="s">
        <v>4030</v>
      </c>
      <c r="D33" s="195" t="s">
        <v>4013</v>
      </c>
      <c r="E33" s="195" t="s">
        <v>3580</v>
      </c>
      <c r="F33" s="195" t="s">
        <v>4014</v>
      </c>
    </row>
    <row r="34" spans="1:6" x14ac:dyDescent="0.35">
      <c r="A34" s="195" t="s">
        <v>3918</v>
      </c>
      <c r="B34" s="64">
        <v>350167</v>
      </c>
      <c r="C34" s="195" t="s">
        <v>3623</v>
      </c>
      <c r="D34" s="195" t="s">
        <v>4013</v>
      </c>
      <c r="E34" s="195" t="s">
        <v>3580</v>
      </c>
      <c r="F34" s="195" t="s">
        <v>4014</v>
      </c>
    </row>
    <row r="35" spans="1:6" x14ac:dyDescent="0.35">
      <c r="A35" s="195" t="s">
        <v>3919</v>
      </c>
      <c r="B35" s="64">
        <v>23232</v>
      </c>
      <c r="C35" s="195" t="s">
        <v>4031</v>
      </c>
      <c r="D35" s="195" t="s">
        <v>4013</v>
      </c>
      <c r="E35" s="195" t="s">
        <v>3580</v>
      </c>
      <c r="F35" s="195" t="s">
        <v>4014</v>
      </c>
    </row>
    <row r="36" spans="1:6" x14ac:dyDescent="0.35">
      <c r="A36" s="195" t="s">
        <v>3920</v>
      </c>
      <c r="B36" s="64">
        <v>23816</v>
      </c>
      <c r="C36" s="195" t="s">
        <v>4032</v>
      </c>
      <c r="D36" s="195" t="s">
        <v>4013</v>
      </c>
      <c r="E36" s="195" t="s">
        <v>3580</v>
      </c>
      <c r="F36" s="195" t="s">
        <v>4014</v>
      </c>
    </row>
    <row r="37" spans="1:6" x14ac:dyDescent="0.35">
      <c r="A37" s="195" t="s">
        <v>3921</v>
      </c>
      <c r="B37" s="64">
        <v>83928</v>
      </c>
      <c r="C37" s="195" t="s">
        <v>4033</v>
      </c>
      <c r="D37" s="195" t="s">
        <v>4013</v>
      </c>
      <c r="E37" s="195" t="s">
        <v>3580</v>
      </c>
      <c r="F37" s="195" t="s">
        <v>4014</v>
      </c>
    </row>
    <row r="38" spans="1:6" x14ac:dyDescent="0.35">
      <c r="A38" s="195" t="s">
        <v>3922</v>
      </c>
      <c r="B38" s="64">
        <v>62773</v>
      </c>
      <c r="C38" s="195" t="s">
        <v>4034</v>
      </c>
      <c r="D38" s="195" t="s">
        <v>4013</v>
      </c>
      <c r="E38" s="195" t="s">
        <v>3580</v>
      </c>
      <c r="F38" s="195" t="s">
        <v>4014</v>
      </c>
    </row>
    <row r="39" spans="1:6" x14ac:dyDescent="0.35">
      <c r="A39" s="195" t="s">
        <v>3923</v>
      </c>
      <c r="B39" s="64">
        <v>22001</v>
      </c>
      <c r="C39" s="195" t="s">
        <v>4035</v>
      </c>
      <c r="D39" s="195" t="s">
        <v>4013</v>
      </c>
      <c r="E39" s="195" t="s">
        <v>3580</v>
      </c>
      <c r="F39" s="195" t="s">
        <v>4014</v>
      </c>
    </row>
    <row r="40" spans="1:6" x14ac:dyDescent="0.35">
      <c r="A40" s="195" t="s">
        <v>3924</v>
      </c>
      <c r="B40" s="64">
        <v>79323</v>
      </c>
      <c r="C40" s="195" t="s">
        <v>4036</v>
      </c>
      <c r="D40" s="195" t="s">
        <v>4013</v>
      </c>
      <c r="E40" s="195" t="s">
        <v>3580</v>
      </c>
      <c r="F40" s="195" t="s">
        <v>4014</v>
      </c>
    </row>
    <row r="41" spans="1:6" x14ac:dyDescent="0.35">
      <c r="A41" s="195" t="s">
        <v>3925</v>
      </c>
      <c r="B41" s="64">
        <v>55094</v>
      </c>
      <c r="C41" s="195" t="s">
        <v>4037</v>
      </c>
      <c r="D41" s="195" t="s">
        <v>4013</v>
      </c>
      <c r="E41" s="195" t="s">
        <v>3580</v>
      </c>
      <c r="F41" s="195" t="s">
        <v>4014</v>
      </c>
    </row>
    <row r="42" spans="1:6" x14ac:dyDescent="0.35">
      <c r="A42" s="195" t="s">
        <v>3926</v>
      </c>
      <c r="B42" s="64">
        <v>631250</v>
      </c>
      <c r="C42" s="195" t="s">
        <v>4038</v>
      </c>
      <c r="D42" s="195" t="s">
        <v>4013</v>
      </c>
      <c r="E42" s="195" t="s">
        <v>3580</v>
      </c>
      <c r="F42" s="195" t="s">
        <v>4014</v>
      </c>
    </row>
    <row r="43" spans="1:6" x14ac:dyDescent="0.35">
      <c r="A43" s="195" t="s">
        <v>3927</v>
      </c>
      <c r="B43" s="64">
        <v>48739</v>
      </c>
      <c r="C43" s="195" t="s">
        <v>4039</v>
      </c>
      <c r="D43" s="195" t="s">
        <v>4013</v>
      </c>
      <c r="E43" s="195" t="s">
        <v>3580</v>
      </c>
      <c r="F43" s="195" t="s">
        <v>4014</v>
      </c>
    </row>
    <row r="44" spans="1:6" x14ac:dyDescent="0.35">
      <c r="A44" s="195" t="s">
        <v>3928</v>
      </c>
      <c r="B44" s="64">
        <v>47133</v>
      </c>
      <c r="C44" s="195" t="s">
        <v>4040</v>
      </c>
      <c r="D44" s="195" t="s">
        <v>4013</v>
      </c>
      <c r="E44" s="195" t="s">
        <v>3580</v>
      </c>
      <c r="F44" s="195" t="s">
        <v>4014</v>
      </c>
    </row>
    <row r="45" spans="1:6" x14ac:dyDescent="0.35">
      <c r="A45" s="195" t="s">
        <v>3929</v>
      </c>
      <c r="B45" s="64">
        <v>164902</v>
      </c>
      <c r="C45" s="195" t="s">
        <v>4041</v>
      </c>
      <c r="D45" s="195" t="s">
        <v>4013</v>
      </c>
      <c r="E45" s="195" t="s">
        <v>3580</v>
      </c>
      <c r="F45" s="195" t="s">
        <v>4014</v>
      </c>
    </row>
    <row r="46" spans="1:6" x14ac:dyDescent="0.35">
      <c r="A46" s="195" t="s">
        <v>3930</v>
      </c>
      <c r="B46" s="64">
        <v>124633</v>
      </c>
      <c r="C46" s="195" t="s">
        <v>4042</v>
      </c>
      <c r="D46" s="195" t="s">
        <v>4013</v>
      </c>
      <c r="E46" s="195" t="s">
        <v>3580</v>
      </c>
      <c r="F46" s="195" t="s">
        <v>4014</v>
      </c>
    </row>
    <row r="47" spans="1:6" x14ac:dyDescent="0.35">
      <c r="A47" s="195" t="s">
        <v>3931</v>
      </c>
      <c r="B47" s="64">
        <v>39288</v>
      </c>
      <c r="C47" s="195" t="s">
        <v>4043</v>
      </c>
      <c r="D47" s="195" t="s">
        <v>4013</v>
      </c>
      <c r="E47" s="195" t="s">
        <v>3580</v>
      </c>
      <c r="F47" s="195" t="s">
        <v>4014</v>
      </c>
    </row>
    <row r="48" spans="1:6" x14ac:dyDescent="0.35">
      <c r="A48" s="195" t="s">
        <v>3932</v>
      </c>
      <c r="B48" s="64">
        <v>118623</v>
      </c>
      <c r="C48" s="195" t="s">
        <v>4044</v>
      </c>
      <c r="D48" s="195" t="s">
        <v>4013</v>
      </c>
      <c r="E48" s="195" t="s">
        <v>3580</v>
      </c>
      <c r="F48" s="195" t="s">
        <v>4014</v>
      </c>
    </row>
    <row r="49" spans="1:6" x14ac:dyDescent="0.35">
      <c r="A49" s="195" t="s">
        <v>3933</v>
      </c>
      <c r="B49" s="64">
        <v>87932</v>
      </c>
      <c r="C49" s="195" t="s">
        <v>4045</v>
      </c>
      <c r="D49" s="195" t="s">
        <v>4013</v>
      </c>
      <c r="E49" s="195" t="s">
        <v>3580</v>
      </c>
      <c r="F49" s="195" t="s">
        <v>4014</v>
      </c>
    </row>
    <row r="50" spans="1:6" x14ac:dyDescent="0.35">
      <c r="A50" s="195" t="s">
        <v>3934</v>
      </c>
      <c r="B50" s="64">
        <v>295970</v>
      </c>
      <c r="C50" s="195" t="s">
        <v>4046</v>
      </c>
      <c r="D50" s="195" t="s">
        <v>4013</v>
      </c>
      <c r="E50" s="195" t="s">
        <v>3580</v>
      </c>
      <c r="F50" s="195" t="s">
        <v>4014</v>
      </c>
    </row>
    <row r="51" spans="1:6" x14ac:dyDescent="0.35">
      <c r="A51" s="195" t="s">
        <v>3935</v>
      </c>
      <c r="B51" s="64">
        <v>33796</v>
      </c>
      <c r="C51" s="195" t="s">
        <v>4047</v>
      </c>
      <c r="D51" s="195" t="s">
        <v>4013</v>
      </c>
      <c r="E51" s="195" t="s">
        <v>3580</v>
      </c>
      <c r="F51" s="195" t="s">
        <v>4014</v>
      </c>
    </row>
    <row r="52" spans="1:6" x14ac:dyDescent="0.35">
      <c r="A52" s="195" t="s">
        <v>3936</v>
      </c>
      <c r="B52" s="64">
        <v>26400</v>
      </c>
      <c r="C52" s="195" t="s">
        <v>4048</v>
      </c>
      <c r="D52" s="195" t="s">
        <v>4013</v>
      </c>
      <c r="E52" s="195" t="s">
        <v>3580</v>
      </c>
      <c r="F52" s="195" t="s">
        <v>4014</v>
      </c>
    </row>
    <row r="53" spans="1:6" x14ac:dyDescent="0.35">
      <c r="A53" s="195" t="s">
        <v>3937</v>
      </c>
      <c r="B53" s="64">
        <v>75376</v>
      </c>
      <c r="C53" s="195" t="s">
        <v>4049</v>
      </c>
      <c r="D53" s="195" t="s">
        <v>4013</v>
      </c>
      <c r="E53" s="195" t="s">
        <v>3580</v>
      </c>
      <c r="F53" s="195" t="s">
        <v>4014</v>
      </c>
    </row>
    <row r="54" spans="1:6" x14ac:dyDescent="0.35">
      <c r="A54" s="195" t="s">
        <v>3938</v>
      </c>
      <c r="B54" s="64">
        <v>53408</v>
      </c>
      <c r="C54" s="195" t="s">
        <v>4050</v>
      </c>
      <c r="D54" s="195" t="s">
        <v>4013</v>
      </c>
      <c r="E54" s="195" t="s">
        <v>3580</v>
      </c>
      <c r="F54" s="195" t="s">
        <v>4014</v>
      </c>
    </row>
    <row r="55" spans="1:6" x14ac:dyDescent="0.35">
      <c r="A55" s="195" t="s">
        <v>3939</v>
      </c>
      <c r="B55" s="64">
        <v>12837</v>
      </c>
      <c r="C55" s="195" t="s">
        <v>4051</v>
      </c>
      <c r="D55" s="195" t="s">
        <v>4013</v>
      </c>
      <c r="E55" s="195" t="s">
        <v>3580</v>
      </c>
      <c r="F55" s="195" t="s">
        <v>4014</v>
      </c>
    </row>
    <row r="56" spans="1:6" x14ac:dyDescent="0.35">
      <c r="A56" s="195" t="s">
        <v>3940</v>
      </c>
      <c r="B56" s="64">
        <v>47608</v>
      </c>
      <c r="C56" s="195" t="s">
        <v>4052</v>
      </c>
      <c r="D56" s="195" t="s">
        <v>4013</v>
      </c>
      <c r="E56" s="195" t="s">
        <v>3580</v>
      </c>
      <c r="F56" s="195" t="s">
        <v>4014</v>
      </c>
    </row>
    <row r="57" spans="1:6" x14ac:dyDescent="0.35">
      <c r="A57" s="195" t="s">
        <v>3941</v>
      </c>
      <c r="B57" s="64">
        <v>46545</v>
      </c>
      <c r="C57" s="195" t="s">
        <v>4053</v>
      </c>
      <c r="D57" s="195" t="s">
        <v>4013</v>
      </c>
      <c r="E57" s="195" t="s">
        <v>3580</v>
      </c>
      <c r="F57" s="195" t="s">
        <v>4014</v>
      </c>
    </row>
    <row r="58" spans="1:6" x14ac:dyDescent="0.35">
      <c r="A58" s="195" t="s">
        <v>3942</v>
      </c>
      <c r="B58" s="64">
        <v>2120427</v>
      </c>
      <c r="C58" s="195" t="s">
        <v>3658</v>
      </c>
      <c r="D58" s="195" t="s">
        <v>4013</v>
      </c>
      <c r="E58" s="195" t="s">
        <v>3580</v>
      </c>
      <c r="F58" s="195" t="s">
        <v>4014</v>
      </c>
    </row>
    <row r="59" spans="1:6" x14ac:dyDescent="0.35">
      <c r="A59" s="195" t="s">
        <v>3943</v>
      </c>
      <c r="B59" s="64">
        <v>243394</v>
      </c>
      <c r="C59" s="195" t="s">
        <v>4054</v>
      </c>
      <c r="D59" s="195" t="s">
        <v>4013</v>
      </c>
      <c r="E59" s="195" t="s">
        <v>3580</v>
      </c>
      <c r="F59" s="195" t="s">
        <v>4014</v>
      </c>
    </row>
    <row r="60" spans="1:6" x14ac:dyDescent="0.35">
      <c r="A60" s="195" t="s">
        <v>3944</v>
      </c>
      <c r="B60" s="64">
        <v>3033</v>
      </c>
      <c r="C60" s="195" t="s">
        <v>4055</v>
      </c>
      <c r="D60" s="195" t="s">
        <v>4013</v>
      </c>
      <c r="E60" s="195" t="s">
        <v>3580</v>
      </c>
      <c r="F60" s="195" t="s">
        <v>4014</v>
      </c>
    </row>
    <row r="61" spans="1:6" x14ac:dyDescent="0.35">
      <c r="A61" s="195" t="s">
        <v>3945</v>
      </c>
      <c r="B61" s="64">
        <v>23940</v>
      </c>
      <c r="C61" s="195" t="s">
        <v>4056</v>
      </c>
      <c r="D61" s="195" t="s">
        <v>4013</v>
      </c>
      <c r="E61" s="195" t="s">
        <v>3580</v>
      </c>
      <c r="F61" s="195" t="s">
        <v>4014</v>
      </c>
    </row>
    <row r="62" spans="1:6" x14ac:dyDescent="0.35">
      <c r="A62" s="195" t="s">
        <v>3946</v>
      </c>
      <c r="B62" s="64">
        <v>58993</v>
      </c>
      <c r="C62" s="195" t="s">
        <v>4057</v>
      </c>
      <c r="D62" s="195" t="s">
        <v>4013</v>
      </c>
      <c r="E62" s="195" t="s">
        <v>3580</v>
      </c>
      <c r="F62" s="195" t="s">
        <v>4014</v>
      </c>
    </row>
    <row r="63" spans="1:6" x14ac:dyDescent="0.35">
      <c r="A63" s="195" t="s">
        <v>3947</v>
      </c>
      <c r="B63" s="64">
        <v>100961</v>
      </c>
      <c r="C63" s="195" t="s">
        <v>4058</v>
      </c>
      <c r="D63" s="195" t="s">
        <v>4013</v>
      </c>
      <c r="E63" s="195" t="s">
        <v>3580</v>
      </c>
      <c r="F63" s="195" t="s">
        <v>4014</v>
      </c>
    </row>
    <row r="64" spans="1:6" x14ac:dyDescent="0.35">
      <c r="A64" s="195" t="s">
        <v>3948</v>
      </c>
      <c r="B64" s="64">
        <v>12610</v>
      </c>
      <c r="C64" s="195" t="s">
        <v>4059</v>
      </c>
      <c r="D64" s="195" t="s">
        <v>4013</v>
      </c>
      <c r="E64" s="195" t="s">
        <v>3580</v>
      </c>
      <c r="F64" s="195" t="s">
        <v>4014</v>
      </c>
    </row>
    <row r="65" spans="1:6" x14ac:dyDescent="0.35">
      <c r="A65" s="195" t="s">
        <v>3949</v>
      </c>
      <c r="B65" s="64">
        <v>40238</v>
      </c>
      <c r="C65" s="195" t="s">
        <v>4060</v>
      </c>
      <c r="D65" s="195" t="s">
        <v>4013</v>
      </c>
      <c r="E65" s="195" t="s">
        <v>3580</v>
      </c>
      <c r="F65" s="195" t="s">
        <v>4014</v>
      </c>
    </row>
    <row r="66" spans="1:6" x14ac:dyDescent="0.35">
      <c r="A66" s="195" t="s">
        <v>3950</v>
      </c>
      <c r="B66" s="64">
        <v>3619</v>
      </c>
      <c r="C66" s="195" t="s">
        <v>4061</v>
      </c>
      <c r="D66" s="195" t="s">
        <v>4013</v>
      </c>
      <c r="E66" s="195" t="s">
        <v>3580</v>
      </c>
      <c r="F66" s="195" t="s">
        <v>4014</v>
      </c>
    </row>
    <row r="67" spans="1:6" x14ac:dyDescent="0.35">
      <c r="A67" s="195" t="s">
        <v>3951</v>
      </c>
      <c r="B67" s="64">
        <v>429116</v>
      </c>
      <c r="C67" s="195" t="s">
        <v>4062</v>
      </c>
      <c r="D67" s="195" t="s">
        <v>4013</v>
      </c>
      <c r="E67" s="195" t="s">
        <v>3580</v>
      </c>
      <c r="F67" s="195" t="s">
        <v>4014</v>
      </c>
    </row>
    <row r="68" spans="1:6" x14ac:dyDescent="0.35">
      <c r="A68" s="195" t="s">
        <v>3952</v>
      </c>
      <c r="B68" s="64">
        <v>11361</v>
      </c>
      <c r="C68" s="195" t="s">
        <v>4063</v>
      </c>
      <c r="D68" s="195" t="s">
        <v>4013</v>
      </c>
      <c r="E68" s="195" t="s">
        <v>3580</v>
      </c>
      <c r="F68" s="195" t="s">
        <v>4014</v>
      </c>
    </row>
    <row r="69" spans="1:6" x14ac:dyDescent="0.35">
      <c r="A69" s="195" t="s">
        <v>3953</v>
      </c>
      <c r="B69" s="64">
        <v>18700</v>
      </c>
      <c r="C69" s="195" t="s">
        <v>4064</v>
      </c>
      <c r="D69" s="195" t="s">
        <v>4013</v>
      </c>
      <c r="E69" s="195" t="s">
        <v>3580</v>
      </c>
      <c r="F69" s="195" t="s">
        <v>4014</v>
      </c>
    </row>
    <row r="70" spans="1:6" x14ac:dyDescent="0.35">
      <c r="A70" s="195" t="s">
        <v>3954</v>
      </c>
      <c r="B70" s="64">
        <v>69720</v>
      </c>
      <c r="C70" s="195" t="s">
        <v>4065</v>
      </c>
      <c r="D70" s="195" t="s">
        <v>4013</v>
      </c>
      <c r="E70" s="195" t="s">
        <v>3580</v>
      </c>
      <c r="F70" s="195" t="s">
        <v>4014</v>
      </c>
    </row>
    <row r="71" spans="1:6" x14ac:dyDescent="0.35">
      <c r="A71" s="195" t="s">
        <v>3955</v>
      </c>
      <c r="B71" s="64">
        <v>77724</v>
      </c>
      <c r="C71" s="195" t="s">
        <v>4066</v>
      </c>
      <c r="D71" s="195" t="s">
        <v>4013</v>
      </c>
      <c r="E71" s="195" t="s">
        <v>3580</v>
      </c>
      <c r="F71" s="195" t="s">
        <v>4014</v>
      </c>
    </row>
    <row r="72" spans="1:6" x14ac:dyDescent="0.35">
      <c r="A72" s="195" t="s">
        <v>3956</v>
      </c>
      <c r="B72" s="64">
        <v>29587</v>
      </c>
      <c r="C72" s="195" t="s">
        <v>4067</v>
      </c>
      <c r="D72" s="195" t="s">
        <v>4013</v>
      </c>
      <c r="E72" s="195" t="s">
        <v>3580</v>
      </c>
      <c r="F72" s="195" t="s">
        <v>4014</v>
      </c>
    </row>
    <row r="73" spans="1:6" x14ac:dyDescent="0.35">
      <c r="A73" s="195" t="s">
        <v>3957</v>
      </c>
      <c r="B73" s="64">
        <v>142151</v>
      </c>
      <c r="C73" s="195" t="s">
        <v>4068</v>
      </c>
      <c r="D73" s="195" t="s">
        <v>4013</v>
      </c>
      <c r="E73" s="195" t="s">
        <v>3580</v>
      </c>
      <c r="F73" s="195" t="s">
        <v>4014</v>
      </c>
    </row>
    <row r="74" spans="1:6" x14ac:dyDescent="0.35">
      <c r="A74" s="195" t="s">
        <v>3958</v>
      </c>
      <c r="B74" s="64">
        <v>79873</v>
      </c>
      <c r="C74" s="195" t="s">
        <v>4069</v>
      </c>
      <c r="D74" s="195" t="s">
        <v>4013</v>
      </c>
      <c r="E74" s="195" t="s">
        <v>3580</v>
      </c>
      <c r="F74" s="195" t="s">
        <v>4014</v>
      </c>
    </row>
    <row r="75" spans="1:6" x14ac:dyDescent="0.35">
      <c r="A75" s="195" t="s">
        <v>3959</v>
      </c>
      <c r="B75" s="64">
        <v>356328</v>
      </c>
      <c r="C75" s="195" t="s">
        <v>3694</v>
      </c>
      <c r="D75" s="195" t="s">
        <v>4013</v>
      </c>
      <c r="E75" s="195" t="s">
        <v>3580</v>
      </c>
      <c r="F75" s="195" t="s">
        <v>4014</v>
      </c>
    </row>
    <row r="76" spans="1:6" x14ac:dyDescent="0.35">
      <c r="A76" s="195" t="s">
        <v>3960</v>
      </c>
      <c r="B76" s="64">
        <v>21009</v>
      </c>
      <c r="C76" s="195" t="s">
        <v>4070</v>
      </c>
      <c r="D76" s="195" t="s">
        <v>4013</v>
      </c>
      <c r="E76" s="195" t="s">
        <v>3580</v>
      </c>
      <c r="F76" s="195" t="s">
        <v>4014</v>
      </c>
    </row>
    <row r="77" spans="1:6" x14ac:dyDescent="0.35">
      <c r="A77" s="195" t="s">
        <v>3961</v>
      </c>
      <c r="B77" s="64">
        <v>20771</v>
      </c>
      <c r="C77" s="195" t="s">
        <v>4071</v>
      </c>
      <c r="D77" s="195" t="s">
        <v>4013</v>
      </c>
      <c r="E77" s="195" t="s">
        <v>3580</v>
      </c>
      <c r="F77" s="195" t="s">
        <v>4014</v>
      </c>
    </row>
    <row r="78" spans="1:6" x14ac:dyDescent="0.35">
      <c r="A78" s="195" t="s">
        <v>3962</v>
      </c>
      <c r="B78" s="64">
        <v>69774</v>
      </c>
      <c r="C78" s="195" t="s">
        <v>4072</v>
      </c>
      <c r="D78" s="195" t="s">
        <v>4013</v>
      </c>
      <c r="E78" s="195" t="s">
        <v>3580</v>
      </c>
      <c r="F78" s="195" t="s">
        <v>4014</v>
      </c>
    </row>
    <row r="79" spans="1:6" x14ac:dyDescent="0.35">
      <c r="A79" s="195" t="s">
        <v>3963</v>
      </c>
      <c r="B79" s="64">
        <v>64120</v>
      </c>
      <c r="C79" s="195" t="s">
        <v>4073</v>
      </c>
      <c r="D79" s="195" t="s">
        <v>4013</v>
      </c>
      <c r="E79" s="195" t="s">
        <v>3580</v>
      </c>
      <c r="F79" s="195" t="s">
        <v>4014</v>
      </c>
    </row>
    <row r="80" spans="1:6" x14ac:dyDescent="0.35">
      <c r="A80" s="195" t="s">
        <v>3964</v>
      </c>
      <c r="B80" s="64">
        <v>28301</v>
      </c>
      <c r="C80" s="195" t="s">
        <v>4074</v>
      </c>
      <c r="D80" s="195" t="s">
        <v>4013</v>
      </c>
      <c r="E80" s="195" t="s">
        <v>3580</v>
      </c>
      <c r="F80" s="195" t="s">
        <v>4014</v>
      </c>
    </row>
    <row r="81" spans="1:6" x14ac:dyDescent="0.35">
      <c r="A81" s="195" t="s">
        <v>3965</v>
      </c>
      <c r="B81" s="64">
        <v>83938</v>
      </c>
      <c r="C81" s="195" t="s">
        <v>4075</v>
      </c>
      <c r="D81" s="195" t="s">
        <v>4013</v>
      </c>
      <c r="E81" s="195" t="s">
        <v>3580</v>
      </c>
      <c r="F81" s="195" t="s">
        <v>4014</v>
      </c>
    </row>
    <row r="82" spans="1:6" x14ac:dyDescent="0.35">
      <c r="A82" s="195" t="s">
        <v>3966</v>
      </c>
      <c r="B82" s="64">
        <v>68415</v>
      </c>
      <c r="C82" s="195" t="s">
        <v>4076</v>
      </c>
      <c r="D82" s="195" t="s">
        <v>4013</v>
      </c>
      <c r="E82" s="195" t="s">
        <v>3580</v>
      </c>
      <c r="F82" s="195" t="s">
        <v>4014</v>
      </c>
    </row>
    <row r="83" spans="1:6" x14ac:dyDescent="0.35">
      <c r="A83" s="195" t="s">
        <v>3967</v>
      </c>
      <c r="B83" s="64">
        <v>679013</v>
      </c>
      <c r="C83" s="195" t="s">
        <v>4077</v>
      </c>
      <c r="D83" s="195" t="s">
        <v>4013</v>
      </c>
      <c r="E83" s="195" t="s">
        <v>3580</v>
      </c>
      <c r="F83" s="195" t="s">
        <v>4014</v>
      </c>
    </row>
    <row r="84" spans="1:6" x14ac:dyDescent="0.35">
      <c r="A84" s="195" t="s">
        <v>3968</v>
      </c>
      <c r="B84" s="64">
        <v>48788</v>
      </c>
      <c r="C84" s="195" t="s">
        <v>4078</v>
      </c>
      <c r="D84" s="195" t="s">
        <v>4013</v>
      </c>
      <c r="E84" s="195" t="s">
        <v>3580</v>
      </c>
      <c r="F84" s="195" t="s">
        <v>4014</v>
      </c>
    </row>
    <row r="85" spans="1:6" x14ac:dyDescent="0.35">
      <c r="A85" s="195" t="s">
        <v>3969</v>
      </c>
      <c r="B85" s="64">
        <v>42257</v>
      </c>
      <c r="C85" s="195" t="s">
        <v>4079</v>
      </c>
      <c r="D85" s="195" t="s">
        <v>4013</v>
      </c>
      <c r="E85" s="195" t="s">
        <v>3580</v>
      </c>
      <c r="F85" s="195" t="s">
        <v>4014</v>
      </c>
    </row>
    <row r="86" spans="1:6" x14ac:dyDescent="0.35">
      <c r="A86" s="195" t="s">
        <v>3970</v>
      </c>
      <c r="B86" s="64">
        <v>157943</v>
      </c>
      <c r="C86" s="195" t="s">
        <v>4080</v>
      </c>
      <c r="D86" s="195" t="s">
        <v>4013</v>
      </c>
      <c r="E86" s="195" t="s">
        <v>3580</v>
      </c>
      <c r="F86" s="195" t="s">
        <v>4014</v>
      </c>
    </row>
    <row r="87" spans="1:6" x14ac:dyDescent="0.35">
      <c r="A87" s="195" t="s">
        <v>3971</v>
      </c>
      <c r="B87" s="64">
        <v>138623</v>
      </c>
      <c r="C87" s="195" t="s">
        <v>4081</v>
      </c>
      <c r="D87" s="195" t="s">
        <v>4013</v>
      </c>
      <c r="E87" s="195" t="s">
        <v>3580</v>
      </c>
      <c r="F87" s="195" t="s">
        <v>4014</v>
      </c>
    </row>
    <row r="88" spans="1:6" x14ac:dyDescent="0.35">
      <c r="A88" s="195" t="s">
        <v>3972</v>
      </c>
      <c r="B88" s="64">
        <v>56913</v>
      </c>
      <c r="C88" s="195" t="s">
        <v>4082</v>
      </c>
      <c r="D88" s="195" t="s">
        <v>4013</v>
      </c>
      <c r="E88" s="195" t="s">
        <v>3580</v>
      </c>
      <c r="F88" s="195" t="s">
        <v>4014</v>
      </c>
    </row>
    <row r="89" spans="1:6" x14ac:dyDescent="0.35">
      <c r="A89" s="195" t="s">
        <v>3973</v>
      </c>
      <c r="B89" s="64">
        <v>136837</v>
      </c>
      <c r="C89" s="195" t="s">
        <v>4083</v>
      </c>
      <c r="D89" s="195" t="s">
        <v>4013</v>
      </c>
      <c r="E89" s="195" t="s">
        <v>3580</v>
      </c>
      <c r="F89" s="195" t="s">
        <v>4014</v>
      </c>
    </row>
    <row r="90" spans="1:6" x14ac:dyDescent="0.35">
      <c r="A90" s="195" t="s">
        <v>3974</v>
      </c>
      <c r="B90" s="64">
        <v>97652</v>
      </c>
      <c r="C90" s="195" t="s">
        <v>4084</v>
      </c>
      <c r="D90" s="195" t="s">
        <v>4013</v>
      </c>
      <c r="E90" s="195" t="s">
        <v>3580</v>
      </c>
      <c r="F90" s="195" t="s">
        <v>4014</v>
      </c>
    </row>
    <row r="91" spans="1:6" x14ac:dyDescent="0.35">
      <c r="A91" s="195" t="s">
        <v>3975</v>
      </c>
      <c r="B91" s="64">
        <v>412576</v>
      </c>
      <c r="C91" s="195" t="s">
        <v>4085</v>
      </c>
      <c r="D91" s="195" t="s">
        <v>4013</v>
      </c>
      <c r="E91" s="195" t="s">
        <v>3580</v>
      </c>
      <c r="F91" s="195" t="s">
        <v>4014</v>
      </c>
    </row>
    <row r="92" spans="1:6" x14ac:dyDescent="0.35">
      <c r="A92" s="195" t="s">
        <v>3976</v>
      </c>
      <c r="B92" s="64">
        <v>49205</v>
      </c>
      <c r="C92" s="195" t="s">
        <v>4086</v>
      </c>
      <c r="D92" s="195" t="s">
        <v>4013</v>
      </c>
      <c r="E92" s="195" t="s">
        <v>3580</v>
      </c>
      <c r="F92" s="195" t="s">
        <v>4014</v>
      </c>
    </row>
    <row r="93" spans="1:6" x14ac:dyDescent="0.35">
      <c r="A93" s="195" t="s">
        <v>3977</v>
      </c>
      <c r="B93" s="64">
        <v>38639</v>
      </c>
      <c r="C93" s="195" t="s">
        <v>4087</v>
      </c>
      <c r="D93" s="195" t="s">
        <v>4013</v>
      </c>
      <c r="E93" s="195" t="s">
        <v>3580</v>
      </c>
      <c r="F93" s="195" t="s">
        <v>4014</v>
      </c>
    </row>
    <row r="94" spans="1:6" x14ac:dyDescent="0.35">
      <c r="A94" s="195" t="s">
        <v>3978</v>
      </c>
      <c r="B94" s="64">
        <v>131135</v>
      </c>
      <c r="C94" s="195" t="s">
        <v>4088</v>
      </c>
      <c r="D94" s="195" t="s">
        <v>4013</v>
      </c>
      <c r="E94" s="195" t="s">
        <v>3580</v>
      </c>
      <c r="F94" s="195" t="s">
        <v>4014</v>
      </c>
    </row>
    <row r="95" spans="1:6" x14ac:dyDescent="0.35">
      <c r="A95" s="195" t="s">
        <v>3979</v>
      </c>
      <c r="B95" s="64">
        <v>76638</v>
      </c>
      <c r="C95" s="195" t="s">
        <v>4089</v>
      </c>
      <c r="D95" s="195" t="s">
        <v>4013</v>
      </c>
      <c r="E95" s="195" t="s">
        <v>3580</v>
      </c>
      <c r="F95" s="195" t="s">
        <v>4014</v>
      </c>
    </row>
    <row r="96" spans="1:6" x14ac:dyDescent="0.35">
      <c r="A96" s="195" t="s">
        <v>3980</v>
      </c>
      <c r="B96" s="64">
        <v>19360</v>
      </c>
      <c r="C96" s="195" t="s">
        <v>4090</v>
      </c>
      <c r="D96" s="195" t="s">
        <v>4013</v>
      </c>
      <c r="E96" s="195" t="s">
        <v>3580</v>
      </c>
      <c r="F96" s="195" t="s">
        <v>4014</v>
      </c>
    </row>
    <row r="97" spans="1:6" x14ac:dyDescent="0.35">
      <c r="A97" s="195" t="s">
        <v>3981</v>
      </c>
      <c r="B97" s="64">
        <v>55281</v>
      </c>
      <c r="C97" s="195" t="s">
        <v>4091</v>
      </c>
      <c r="D97" s="195" t="s">
        <v>4013</v>
      </c>
      <c r="E97" s="195" t="s">
        <v>3580</v>
      </c>
      <c r="F97" s="195" t="s">
        <v>4014</v>
      </c>
    </row>
    <row r="98" spans="1:6" x14ac:dyDescent="0.35">
      <c r="A98" s="195" t="s">
        <v>3982</v>
      </c>
      <c r="B98" s="64">
        <v>42318</v>
      </c>
      <c r="C98" s="195" t="s">
        <v>4092</v>
      </c>
      <c r="D98" s="195" t="s">
        <v>4013</v>
      </c>
      <c r="E98" s="195" t="s">
        <v>3580</v>
      </c>
      <c r="F98" s="195" t="s">
        <v>4014</v>
      </c>
    </row>
    <row r="99" spans="1:6" x14ac:dyDescent="0.35">
      <c r="A99" s="195" t="s">
        <v>3338</v>
      </c>
      <c r="B99" s="64">
        <v>59426</v>
      </c>
      <c r="C99" s="195" t="s">
        <v>3582</v>
      </c>
      <c r="D99" s="195" t="s">
        <v>3583</v>
      </c>
      <c r="E99" s="195" t="s">
        <v>3580</v>
      </c>
      <c r="F99" s="195" t="s">
        <v>3584</v>
      </c>
    </row>
    <row r="100" spans="1:6" x14ac:dyDescent="0.35">
      <c r="A100" s="195" t="s">
        <v>4093</v>
      </c>
      <c r="B100" s="64">
        <v>40951</v>
      </c>
      <c r="C100" s="195" t="s">
        <v>26</v>
      </c>
      <c r="D100" s="195" t="s">
        <v>4111</v>
      </c>
      <c r="E100" s="195" t="s">
        <v>3580</v>
      </c>
      <c r="F100" s="195" t="s">
        <v>4112</v>
      </c>
    </row>
    <row r="101" spans="1:6" x14ac:dyDescent="0.35">
      <c r="A101" s="195" t="s">
        <v>4094</v>
      </c>
      <c r="B101" s="64">
        <v>22834</v>
      </c>
      <c r="C101" s="195" t="s">
        <v>3985</v>
      </c>
      <c r="D101" s="195" t="s">
        <v>4111</v>
      </c>
      <c r="E101" s="195" t="s">
        <v>3580</v>
      </c>
      <c r="F101" s="195" t="s">
        <v>4112</v>
      </c>
    </row>
    <row r="102" spans="1:6" x14ac:dyDescent="0.35">
      <c r="A102" s="195" t="s">
        <v>4095</v>
      </c>
      <c r="B102" s="64">
        <v>29303</v>
      </c>
      <c r="C102" s="195" t="s">
        <v>3992</v>
      </c>
      <c r="D102" s="195" t="s">
        <v>4111</v>
      </c>
      <c r="E102" s="195" t="s">
        <v>3580</v>
      </c>
      <c r="F102" s="195" t="s">
        <v>4112</v>
      </c>
    </row>
    <row r="103" spans="1:6" x14ac:dyDescent="0.35">
      <c r="A103" s="195" t="s">
        <v>4096</v>
      </c>
      <c r="B103" s="64">
        <v>35220</v>
      </c>
      <c r="C103" s="195" t="s">
        <v>3999</v>
      </c>
      <c r="D103" s="195" t="s">
        <v>4111</v>
      </c>
      <c r="E103" s="195" t="s">
        <v>3580</v>
      </c>
      <c r="F103" s="195" t="s">
        <v>4112</v>
      </c>
    </row>
    <row r="104" spans="1:6" x14ac:dyDescent="0.35">
      <c r="A104" s="195" t="s">
        <v>4097</v>
      </c>
      <c r="B104" s="64">
        <v>54986</v>
      </c>
      <c r="C104" s="195" t="s">
        <v>4113</v>
      </c>
      <c r="D104" s="195" t="s">
        <v>4111</v>
      </c>
      <c r="E104" s="195" t="s">
        <v>3580</v>
      </c>
      <c r="F104" s="195" t="s">
        <v>4112</v>
      </c>
    </row>
    <row r="105" spans="1:6" x14ac:dyDescent="0.35">
      <c r="A105" s="195" t="s">
        <v>4098</v>
      </c>
      <c r="B105" s="64">
        <v>73244</v>
      </c>
      <c r="C105" s="195" t="s">
        <v>4114</v>
      </c>
      <c r="D105" s="195" t="s">
        <v>4111</v>
      </c>
      <c r="E105" s="195" t="s">
        <v>3580</v>
      </c>
      <c r="F105" s="195" t="s">
        <v>4112</v>
      </c>
    </row>
    <row r="106" spans="1:6" x14ac:dyDescent="0.35">
      <c r="A106" s="195" t="s">
        <v>4099</v>
      </c>
      <c r="B106" s="64">
        <v>46111</v>
      </c>
      <c r="C106" s="195" t="s">
        <v>3587</v>
      </c>
      <c r="D106" s="195" t="s">
        <v>4111</v>
      </c>
      <c r="E106" s="195" t="s">
        <v>3580</v>
      </c>
      <c r="F106" s="195" t="s">
        <v>4112</v>
      </c>
    </row>
    <row r="107" spans="1:6" x14ac:dyDescent="0.35">
      <c r="A107" s="195" t="s">
        <v>4100</v>
      </c>
      <c r="B107" s="64">
        <v>26196</v>
      </c>
      <c r="C107" s="195" t="s">
        <v>4115</v>
      </c>
      <c r="D107" s="195" t="s">
        <v>4111</v>
      </c>
      <c r="E107" s="195" t="s">
        <v>3580</v>
      </c>
      <c r="F107" s="195" t="s">
        <v>4112</v>
      </c>
    </row>
    <row r="108" spans="1:6" x14ac:dyDescent="0.35">
      <c r="A108" s="195" t="s">
        <v>4101</v>
      </c>
      <c r="B108" s="64">
        <v>32579</v>
      </c>
      <c r="C108" s="195" t="s">
        <v>4116</v>
      </c>
      <c r="D108" s="195" t="s">
        <v>4111</v>
      </c>
      <c r="E108" s="195" t="s">
        <v>3580</v>
      </c>
      <c r="F108" s="195" t="s">
        <v>4112</v>
      </c>
    </row>
    <row r="109" spans="1:6" x14ac:dyDescent="0.35">
      <c r="A109" s="195" t="s">
        <v>4102</v>
      </c>
      <c r="B109" s="64">
        <v>41409</v>
      </c>
      <c r="C109" s="195" t="s">
        <v>4117</v>
      </c>
      <c r="D109" s="195" t="s">
        <v>4111</v>
      </c>
      <c r="E109" s="195" t="s">
        <v>3580</v>
      </c>
      <c r="F109" s="195" t="s">
        <v>4112</v>
      </c>
    </row>
    <row r="110" spans="1:6" x14ac:dyDescent="0.35">
      <c r="A110" s="195" t="s">
        <v>4103</v>
      </c>
      <c r="B110" s="64">
        <v>64024</v>
      </c>
      <c r="C110" s="195" t="s">
        <v>4118</v>
      </c>
      <c r="D110" s="195" t="s">
        <v>4111</v>
      </c>
      <c r="E110" s="195" t="s">
        <v>3580</v>
      </c>
      <c r="F110" s="195" t="s">
        <v>4112</v>
      </c>
    </row>
    <row r="111" spans="1:6" x14ac:dyDescent="0.35">
      <c r="A111" s="195" t="s">
        <v>4104</v>
      </c>
      <c r="B111" s="64">
        <v>89164</v>
      </c>
      <c r="C111" s="195" t="s">
        <v>4119</v>
      </c>
      <c r="D111" s="195" t="s">
        <v>4111</v>
      </c>
      <c r="E111" s="195" t="s">
        <v>3580</v>
      </c>
      <c r="F111" s="195" t="s">
        <v>4112</v>
      </c>
    </row>
    <row r="112" spans="1:6" x14ac:dyDescent="0.35">
      <c r="A112" s="195" t="s">
        <v>4105</v>
      </c>
      <c r="B112" s="64">
        <v>35936</v>
      </c>
      <c r="C112" s="195" t="s">
        <v>3658</v>
      </c>
      <c r="D112" s="195" t="s">
        <v>4111</v>
      </c>
      <c r="E112" s="195" t="s">
        <v>3580</v>
      </c>
      <c r="F112" s="195" t="s">
        <v>4112</v>
      </c>
    </row>
    <row r="113" spans="1:6" x14ac:dyDescent="0.35">
      <c r="A113" s="195" t="s">
        <v>4106</v>
      </c>
      <c r="B113" s="64">
        <v>18649</v>
      </c>
      <c r="C113" s="195" t="s">
        <v>4120</v>
      </c>
      <c r="D113" s="195" t="s">
        <v>4111</v>
      </c>
      <c r="E113" s="195" t="s">
        <v>3580</v>
      </c>
      <c r="F113" s="195" t="s">
        <v>4112</v>
      </c>
    </row>
    <row r="114" spans="1:6" x14ac:dyDescent="0.35">
      <c r="A114" s="195" t="s">
        <v>4107</v>
      </c>
      <c r="B114" s="64">
        <v>23987</v>
      </c>
      <c r="C114" s="195" t="s">
        <v>4121</v>
      </c>
      <c r="D114" s="195" t="s">
        <v>4111</v>
      </c>
      <c r="E114" s="195" t="s">
        <v>3580</v>
      </c>
      <c r="F114" s="195" t="s">
        <v>4112</v>
      </c>
    </row>
    <row r="115" spans="1:6" x14ac:dyDescent="0.35">
      <c r="A115" s="195" t="s">
        <v>4108</v>
      </c>
      <c r="B115" s="64">
        <v>30365</v>
      </c>
      <c r="C115" s="195" t="s">
        <v>4122</v>
      </c>
      <c r="D115" s="195" t="s">
        <v>4111</v>
      </c>
      <c r="E115" s="195" t="s">
        <v>3580</v>
      </c>
      <c r="F115" s="195" t="s">
        <v>4112</v>
      </c>
    </row>
    <row r="116" spans="1:6" x14ac:dyDescent="0.35">
      <c r="A116" s="195" t="s">
        <v>4109</v>
      </c>
      <c r="B116" s="64">
        <v>48423</v>
      </c>
      <c r="C116" s="195" t="s">
        <v>4123</v>
      </c>
      <c r="D116" s="195" t="s">
        <v>4111</v>
      </c>
      <c r="E116" s="195" t="s">
        <v>3580</v>
      </c>
      <c r="F116" s="195" t="s">
        <v>4112</v>
      </c>
    </row>
    <row r="117" spans="1:6" x14ac:dyDescent="0.35">
      <c r="A117" s="195" t="s">
        <v>4110</v>
      </c>
      <c r="B117" s="64">
        <v>62648</v>
      </c>
      <c r="C117" s="195" t="s">
        <v>4124</v>
      </c>
      <c r="D117" s="195" t="s">
        <v>4111</v>
      </c>
      <c r="E117" s="195" t="s">
        <v>3580</v>
      </c>
      <c r="F117" s="195" t="s">
        <v>4112</v>
      </c>
    </row>
    <row r="118" spans="1:6" x14ac:dyDescent="0.35">
      <c r="A118" s="195" t="s">
        <v>3432</v>
      </c>
      <c r="B118" s="64">
        <v>4195610</v>
      </c>
      <c r="C118" s="195" t="s">
        <v>26</v>
      </c>
      <c r="D118" s="195" t="s">
        <v>3585</v>
      </c>
      <c r="E118" s="195" t="s">
        <v>3580</v>
      </c>
      <c r="F118" s="195" t="s">
        <v>3586</v>
      </c>
    </row>
    <row r="119" spans="1:6" x14ac:dyDescent="0.35">
      <c r="A119" s="195" t="s">
        <v>3433</v>
      </c>
      <c r="B119" s="64">
        <v>2010062</v>
      </c>
      <c r="C119" s="195" t="s">
        <v>3587</v>
      </c>
      <c r="D119" s="195" t="s">
        <v>3585</v>
      </c>
      <c r="E119" s="195" t="s">
        <v>3580</v>
      </c>
      <c r="F119" s="195" t="s">
        <v>3586</v>
      </c>
    </row>
    <row r="120" spans="1:6" x14ac:dyDescent="0.35">
      <c r="A120" s="195" t="s">
        <v>3434</v>
      </c>
      <c r="B120" s="64">
        <v>130345</v>
      </c>
      <c r="C120" s="195" t="s">
        <v>3588</v>
      </c>
      <c r="D120" s="195" t="s">
        <v>3585</v>
      </c>
      <c r="E120" s="195" t="s">
        <v>3580</v>
      </c>
      <c r="F120" s="195" t="s">
        <v>3586</v>
      </c>
    </row>
    <row r="121" spans="1:6" x14ac:dyDescent="0.35">
      <c r="A121" s="195" t="s">
        <v>3435</v>
      </c>
      <c r="B121" s="64">
        <v>41695</v>
      </c>
      <c r="C121" s="195" t="s">
        <v>3589</v>
      </c>
      <c r="D121" s="195" t="s">
        <v>3585</v>
      </c>
      <c r="E121" s="195" t="s">
        <v>3580</v>
      </c>
      <c r="F121" s="195" t="s">
        <v>3586</v>
      </c>
    </row>
    <row r="122" spans="1:6" x14ac:dyDescent="0.35">
      <c r="A122" s="195" t="s">
        <v>3436</v>
      </c>
      <c r="B122" s="195">
        <v>27</v>
      </c>
      <c r="C122" s="195" t="s">
        <v>3590</v>
      </c>
      <c r="D122" s="195" t="s">
        <v>3585</v>
      </c>
      <c r="E122" s="195" t="s">
        <v>3580</v>
      </c>
      <c r="F122" s="195" t="s">
        <v>3586</v>
      </c>
    </row>
    <row r="123" spans="1:6" x14ac:dyDescent="0.35">
      <c r="A123" s="195" t="s">
        <v>3437</v>
      </c>
      <c r="B123" s="64">
        <v>41668</v>
      </c>
      <c r="C123" s="195" t="s">
        <v>3591</v>
      </c>
      <c r="D123" s="195" t="s">
        <v>3585</v>
      </c>
      <c r="E123" s="195" t="s">
        <v>3580</v>
      </c>
      <c r="F123" s="195" t="s">
        <v>3586</v>
      </c>
    </row>
    <row r="124" spans="1:6" x14ac:dyDescent="0.35">
      <c r="A124" s="195" t="s">
        <v>3438</v>
      </c>
      <c r="B124" s="64">
        <v>28374</v>
      </c>
      <c r="C124" s="195" t="s">
        <v>3592</v>
      </c>
      <c r="D124" s="195" t="s">
        <v>3585</v>
      </c>
      <c r="E124" s="195" t="s">
        <v>3580</v>
      </c>
      <c r="F124" s="195" t="s">
        <v>3586</v>
      </c>
    </row>
    <row r="125" spans="1:6" x14ac:dyDescent="0.35">
      <c r="A125" s="195" t="s">
        <v>3439</v>
      </c>
      <c r="B125" s="64">
        <v>13294</v>
      </c>
      <c r="C125" s="195" t="s">
        <v>3593</v>
      </c>
      <c r="D125" s="195" t="s">
        <v>3585</v>
      </c>
      <c r="E125" s="195" t="s">
        <v>3580</v>
      </c>
      <c r="F125" s="195" t="s">
        <v>3586</v>
      </c>
    </row>
    <row r="126" spans="1:6" x14ac:dyDescent="0.35">
      <c r="A126" s="195" t="s">
        <v>3440</v>
      </c>
      <c r="B126" s="64">
        <v>88650</v>
      </c>
      <c r="C126" s="195" t="s">
        <v>3594</v>
      </c>
      <c r="D126" s="195" t="s">
        <v>3585</v>
      </c>
      <c r="E126" s="195" t="s">
        <v>3580</v>
      </c>
      <c r="F126" s="195" t="s">
        <v>3586</v>
      </c>
    </row>
    <row r="127" spans="1:6" x14ac:dyDescent="0.35">
      <c r="A127" s="195" t="s">
        <v>3441</v>
      </c>
      <c r="B127" s="64">
        <v>68765</v>
      </c>
      <c r="C127" s="195" t="s">
        <v>3595</v>
      </c>
      <c r="D127" s="195" t="s">
        <v>3585</v>
      </c>
      <c r="E127" s="195" t="s">
        <v>3580</v>
      </c>
      <c r="F127" s="195" t="s">
        <v>3586</v>
      </c>
    </row>
    <row r="128" spans="1:6" x14ac:dyDescent="0.35">
      <c r="A128" s="195" t="s">
        <v>3442</v>
      </c>
      <c r="B128" s="64">
        <v>46350</v>
      </c>
      <c r="C128" s="195" t="s">
        <v>3596</v>
      </c>
      <c r="D128" s="195" t="s">
        <v>3585</v>
      </c>
      <c r="E128" s="195" t="s">
        <v>3580</v>
      </c>
      <c r="F128" s="195" t="s">
        <v>3586</v>
      </c>
    </row>
    <row r="129" spans="1:6" x14ac:dyDescent="0.35">
      <c r="A129" s="195" t="s">
        <v>3443</v>
      </c>
      <c r="B129" s="195">
        <v>17</v>
      </c>
      <c r="C129" s="195" t="s">
        <v>3597</v>
      </c>
      <c r="D129" s="195" t="s">
        <v>3585</v>
      </c>
      <c r="E129" s="195" t="s">
        <v>3580</v>
      </c>
      <c r="F129" s="195" t="s">
        <v>3586</v>
      </c>
    </row>
    <row r="130" spans="1:6" x14ac:dyDescent="0.35">
      <c r="A130" s="195" t="s">
        <v>3444</v>
      </c>
      <c r="B130" s="64">
        <v>46333</v>
      </c>
      <c r="C130" s="195" t="s">
        <v>3598</v>
      </c>
      <c r="D130" s="195" t="s">
        <v>3585</v>
      </c>
      <c r="E130" s="195" t="s">
        <v>3580</v>
      </c>
      <c r="F130" s="195" t="s">
        <v>3586</v>
      </c>
    </row>
    <row r="131" spans="1:6" x14ac:dyDescent="0.35">
      <c r="A131" s="195" t="s">
        <v>3445</v>
      </c>
      <c r="B131" s="64">
        <v>35661</v>
      </c>
      <c r="C131" s="195" t="s">
        <v>3599</v>
      </c>
      <c r="D131" s="195" t="s">
        <v>3585</v>
      </c>
      <c r="E131" s="195" t="s">
        <v>3580</v>
      </c>
      <c r="F131" s="195" t="s">
        <v>3586</v>
      </c>
    </row>
    <row r="132" spans="1:6" x14ac:dyDescent="0.35">
      <c r="A132" s="195" t="s">
        <v>3446</v>
      </c>
      <c r="B132" s="64">
        <v>10672</v>
      </c>
      <c r="C132" s="195" t="s">
        <v>3600</v>
      </c>
      <c r="D132" s="195" t="s">
        <v>3585</v>
      </c>
      <c r="E132" s="195" t="s">
        <v>3580</v>
      </c>
      <c r="F132" s="195" t="s">
        <v>3586</v>
      </c>
    </row>
    <row r="133" spans="1:6" x14ac:dyDescent="0.35">
      <c r="A133" s="195" t="s">
        <v>3447</v>
      </c>
      <c r="B133" s="64">
        <v>22415</v>
      </c>
      <c r="C133" s="195" t="s">
        <v>3601</v>
      </c>
      <c r="D133" s="195" t="s">
        <v>3585</v>
      </c>
      <c r="E133" s="195" t="s">
        <v>3580</v>
      </c>
      <c r="F133" s="195" t="s">
        <v>3586</v>
      </c>
    </row>
    <row r="134" spans="1:6" x14ac:dyDescent="0.35">
      <c r="A134" s="195" t="s">
        <v>3448</v>
      </c>
      <c r="B134" s="64">
        <v>109203</v>
      </c>
      <c r="C134" s="195" t="s">
        <v>3602</v>
      </c>
      <c r="D134" s="195" t="s">
        <v>3585</v>
      </c>
      <c r="E134" s="195" t="s">
        <v>3580</v>
      </c>
      <c r="F134" s="195" t="s">
        <v>3586</v>
      </c>
    </row>
    <row r="135" spans="1:6" x14ac:dyDescent="0.35">
      <c r="A135" s="195" t="s">
        <v>3449</v>
      </c>
      <c r="B135" s="64">
        <v>86642</v>
      </c>
      <c r="C135" s="195" t="s">
        <v>3603</v>
      </c>
      <c r="D135" s="195" t="s">
        <v>3585</v>
      </c>
      <c r="E135" s="195" t="s">
        <v>3580</v>
      </c>
      <c r="F135" s="195" t="s">
        <v>3586</v>
      </c>
    </row>
    <row r="136" spans="1:6" x14ac:dyDescent="0.35">
      <c r="A136" s="195" t="s">
        <v>3450</v>
      </c>
      <c r="B136" s="195">
        <v>51</v>
      </c>
      <c r="C136" s="195" t="s">
        <v>3604</v>
      </c>
      <c r="D136" s="195" t="s">
        <v>3585</v>
      </c>
      <c r="E136" s="195" t="s">
        <v>3580</v>
      </c>
      <c r="F136" s="195" t="s">
        <v>3586</v>
      </c>
    </row>
    <row r="137" spans="1:6" x14ac:dyDescent="0.35">
      <c r="A137" s="195" t="s">
        <v>3451</v>
      </c>
      <c r="B137" s="64">
        <v>86591</v>
      </c>
      <c r="C137" s="195" t="s">
        <v>3605</v>
      </c>
      <c r="D137" s="195" t="s">
        <v>3585</v>
      </c>
      <c r="E137" s="195" t="s">
        <v>3580</v>
      </c>
      <c r="F137" s="195" t="s">
        <v>3586</v>
      </c>
    </row>
    <row r="138" spans="1:6" x14ac:dyDescent="0.35">
      <c r="A138" s="195" t="s">
        <v>3452</v>
      </c>
      <c r="B138" s="64">
        <v>73820</v>
      </c>
      <c r="C138" s="195" t="s">
        <v>3606</v>
      </c>
      <c r="D138" s="195" t="s">
        <v>3585</v>
      </c>
      <c r="E138" s="195" t="s">
        <v>3580</v>
      </c>
      <c r="F138" s="195" t="s">
        <v>3586</v>
      </c>
    </row>
    <row r="139" spans="1:6" x14ac:dyDescent="0.35">
      <c r="A139" s="195" t="s">
        <v>3453</v>
      </c>
      <c r="B139" s="64">
        <v>12771</v>
      </c>
      <c r="C139" s="195" t="s">
        <v>3607</v>
      </c>
      <c r="D139" s="195" t="s">
        <v>3585</v>
      </c>
      <c r="E139" s="195" t="s">
        <v>3580</v>
      </c>
      <c r="F139" s="195" t="s">
        <v>3586</v>
      </c>
    </row>
    <row r="140" spans="1:6" x14ac:dyDescent="0.35">
      <c r="A140" s="195" t="s">
        <v>3454</v>
      </c>
      <c r="B140" s="64">
        <v>22561</v>
      </c>
      <c r="C140" s="195" t="s">
        <v>3608</v>
      </c>
      <c r="D140" s="195" t="s">
        <v>3585</v>
      </c>
      <c r="E140" s="195" t="s">
        <v>3580</v>
      </c>
      <c r="F140" s="195" t="s">
        <v>3586</v>
      </c>
    </row>
    <row r="141" spans="1:6" x14ac:dyDescent="0.35">
      <c r="A141" s="195" t="s">
        <v>3455</v>
      </c>
      <c r="B141" s="64">
        <v>217038</v>
      </c>
      <c r="C141" s="195" t="s">
        <v>3609</v>
      </c>
      <c r="D141" s="195" t="s">
        <v>3585</v>
      </c>
      <c r="E141" s="195" t="s">
        <v>3580</v>
      </c>
      <c r="F141" s="195" t="s">
        <v>3586</v>
      </c>
    </row>
    <row r="142" spans="1:6" x14ac:dyDescent="0.35">
      <c r="A142" s="195" t="s">
        <v>3456</v>
      </c>
      <c r="B142" s="64">
        <v>191152</v>
      </c>
      <c r="C142" s="195" t="s">
        <v>3610</v>
      </c>
      <c r="D142" s="195" t="s">
        <v>3585</v>
      </c>
      <c r="E142" s="195" t="s">
        <v>3580</v>
      </c>
      <c r="F142" s="195" t="s">
        <v>3586</v>
      </c>
    </row>
    <row r="143" spans="1:6" x14ac:dyDescent="0.35">
      <c r="A143" s="195" t="s">
        <v>3457</v>
      </c>
      <c r="B143" s="195">
        <v>328</v>
      </c>
      <c r="C143" s="195" t="s">
        <v>3611</v>
      </c>
      <c r="D143" s="195" t="s">
        <v>3585</v>
      </c>
      <c r="E143" s="195" t="s">
        <v>3580</v>
      </c>
      <c r="F143" s="195" t="s">
        <v>3586</v>
      </c>
    </row>
    <row r="144" spans="1:6" x14ac:dyDescent="0.35">
      <c r="A144" s="195" t="s">
        <v>3458</v>
      </c>
      <c r="B144" s="64">
        <v>190824</v>
      </c>
      <c r="C144" s="195" t="s">
        <v>3612</v>
      </c>
      <c r="D144" s="195" t="s">
        <v>3585</v>
      </c>
      <c r="E144" s="195" t="s">
        <v>3580</v>
      </c>
      <c r="F144" s="195" t="s">
        <v>3586</v>
      </c>
    </row>
    <row r="145" spans="1:6" x14ac:dyDescent="0.35">
      <c r="A145" s="195" t="s">
        <v>3459</v>
      </c>
      <c r="B145" s="64">
        <v>174057</v>
      </c>
      <c r="C145" s="195" t="s">
        <v>3613</v>
      </c>
      <c r="D145" s="195" t="s">
        <v>3585</v>
      </c>
      <c r="E145" s="195" t="s">
        <v>3580</v>
      </c>
      <c r="F145" s="195" t="s">
        <v>3586</v>
      </c>
    </row>
    <row r="146" spans="1:6" x14ac:dyDescent="0.35">
      <c r="A146" s="195" t="s">
        <v>3460</v>
      </c>
      <c r="B146" s="64">
        <v>16767</v>
      </c>
      <c r="C146" s="195" t="s">
        <v>3614</v>
      </c>
      <c r="D146" s="195" t="s">
        <v>3585</v>
      </c>
      <c r="E146" s="195" t="s">
        <v>3580</v>
      </c>
      <c r="F146" s="195" t="s">
        <v>3586</v>
      </c>
    </row>
    <row r="147" spans="1:6" x14ac:dyDescent="0.35">
      <c r="A147" s="195" t="s">
        <v>3461</v>
      </c>
      <c r="B147" s="64">
        <v>25886</v>
      </c>
      <c r="C147" s="195" t="s">
        <v>3615</v>
      </c>
      <c r="D147" s="195" t="s">
        <v>3585</v>
      </c>
      <c r="E147" s="195" t="s">
        <v>3580</v>
      </c>
      <c r="F147" s="195" t="s">
        <v>3586</v>
      </c>
    </row>
    <row r="148" spans="1:6" x14ac:dyDescent="0.35">
      <c r="A148" s="195" t="s">
        <v>3462</v>
      </c>
      <c r="B148" s="64">
        <v>207324</v>
      </c>
      <c r="C148" s="195" t="s">
        <v>3616</v>
      </c>
      <c r="D148" s="195" t="s">
        <v>3585</v>
      </c>
      <c r="E148" s="195" t="s">
        <v>3580</v>
      </c>
      <c r="F148" s="195" t="s">
        <v>3586</v>
      </c>
    </row>
    <row r="149" spans="1:6" x14ac:dyDescent="0.35">
      <c r="A149" s="195" t="s">
        <v>3463</v>
      </c>
      <c r="B149" s="64">
        <v>189169</v>
      </c>
      <c r="C149" s="195" t="s">
        <v>3617</v>
      </c>
      <c r="D149" s="195" t="s">
        <v>3585</v>
      </c>
      <c r="E149" s="195" t="s">
        <v>3580</v>
      </c>
      <c r="F149" s="195" t="s">
        <v>3586</v>
      </c>
    </row>
    <row r="150" spans="1:6" x14ac:dyDescent="0.35">
      <c r="A150" s="195" t="s">
        <v>3464</v>
      </c>
      <c r="B150" s="195">
        <v>312</v>
      </c>
      <c r="C150" s="195" t="s">
        <v>3618</v>
      </c>
      <c r="D150" s="195" t="s">
        <v>3585</v>
      </c>
      <c r="E150" s="195" t="s">
        <v>3580</v>
      </c>
      <c r="F150" s="195" t="s">
        <v>3586</v>
      </c>
    </row>
    <row r="151" spans="1:6" x14ac:dyDescent="0.35">
      <c r="A151" s="195" t="s">
        <v>3465</v>
      </c>
      <c r="B151" s="64">
        <v>188857</v>
      </c>
      <c r="C151" s="195" t="s">
        <v>3619</v>
      </c>
      <c r="D151" s="195" t="s">
        <v>3585</v>
      </c>
      <c r="E151" s="195" t="s">
        <v>3580</v>
      </c>
      <c r="F151" s="195" t="s">
        <v>3586</v>
      </c>
    </row>
    <row r="152" spans="1:6" x14ac:dyDescent="0.35">
      <c r="A152" s="195" t="s">
        <v>3466</v>
      </c>
      <c r="B152" s="64">
        <v>175798</v>
      </c>
      <c r="C152" s="195" t="s">
        <v>3620</v>
      </c>
      <c r="D152" s="195" t="s">
        <v>3585</v>
      </c>
      <c r="E152" s="195" t="s">
        <v>3580</v>
      </c>
      <c r="F152" s="195" t="s">
        <v>3586</v>
      </c>
    </row>
    <row r="153" spans="1:6" x14ac:dyDescent="0.35">
      <c r="A153" s="195" t="s">
        <v>3467</v>
      </c>
      <c r="B153" s="64">
        <v>13059</v>
      </c>
      <c r="C153" s="195" t="s">
        <v>3621</v>
      </c>
      <c r="D153" s="195" t="s">
        <v>3585</v>
      </c>
      <c r="E153" s="195" t="s">
        <v>3580</v>
      </c>
      <c r="F153" s="195" t="s">
        <v>3586</v>
      </c>
    </row>
    <row r="154" spans="1:6" x14ac:dyDescent="0.35">
      <c r="A154" s="195" t="s">
        <v>3468</v>
      </c>
      <c r="B154" s="64">
        <v>18155</v>
      </c>
      <c r="C154" s="195" t="s">
        <v>3622</v>
      </c>
      <c r="D154" s="195" t="s">
        <v>3585</v>
      </c>
      <c r="E154" s="195" t="s">
        <v>3580</v>
      </c>
      <c r="F154" s="195" t="s">
        <v>3586</v>
      </c>
    </row>
    <row r="155" spans="1:6" x14ac:dyDescent="0.35">
      <c r="A155" s="195" t="s">
        <v>3469</v>
      </c>
      <c r="B155" s="64">
        <v>350167</v>
      </c>
      <c r="C155" s="195" t="s">
        <v>3623</v>
      </c>
      <c r="D155" s="195" t="s">
        <v>3585</v>
      </c>
      <c r="E155" s="195" t="s">
        <v>3580</v>
      </c>
      <c r="F155" s="195" t="s">
        <v>3586</v>
      </c>
    </row>
    <row r="156" spans="1:6" x14ac:dyDescent="0.35">
      <c r="A156" s="195" t="s">
        <v>3470</v>
      </c>
      <c r="B156" s="64">
        <v>320137</v>
      </c>
      <c r="C156" s="195" t="s">
        <v>3624</v>
      </c>
      <c r="D156" s="195" t="s">
        <v>3585</v>
      </c>
      <c r="E156" s="195" t="s">
        <v>3580</v>
      </c>
      <c r="F156" s="195" t="s">
        <v>3586</v>
      </c>
    </row>
    <row r="157" spans="1:6" x14ac:dyDescent="0.35">
      <c r="A157" s="195" t="s">
        <v>3471</v>
      </c>
      <c r="B157" s="195">
        <v>138</v>
      </c>
      <c r="C157" s="195" t="s">
        <v>3625</v>
      </c>
      <c r="D157" s="195" t="s">
        <v>3585</v>
      </c>
      <c r="E157" s="195" t="s">
        <v>3580</v>
      </c>
      <c r="F157" s="195" t="s">
        <v>3586</v>
      </c>
    </row>
    <row r="158" spans="1:6" x14ac:dyDescent="0.35">
      <c r="A158" s="195" t="s">
        <v>3472</v>
      </c>
      <c r="B158" s="64">
        <v>319999</v>
      </c>
      <c r="C158" s="195" t="s">
        <v>3626</v>
      </c>
      <c r="D158" s="195" t="s">
        <v>3585</v>
      </c>
      <c r="E158" s="195" t="s">
        <v>3580</v>
      </c>
      <c r="F158" s="195" t="s">
        <v>3586</v>
      </c>
    </row>
    <row r="159" spans="1:6" x14ac:dyDescent="0.35">
      <c r="A159" s="195" t="s">
        <v>3473</v>
      </c>
      <c r="B159" s="64">
        <v>299028</v>
      </c>
      <c r="C159" s="195" t="s">
        <v>3627</v>
      </c>
      <c r="D159" s="195" t="s">
        <v>3585</v>
      </c>
      <c r="E159" s="195" t="s">
        <v>3580</v>
      </c>
      <c r="F159" s="195" t="s">
        <v>3586</v>
      </c>
    </row>
    <row r="160" spans="1:6" x14ac:dyDescent="0.35">
      <c r="A160" s="195" t="s">
        <v>3474</v>
      </c>
      <c r="B160" s="64">
        <v>20971</v>
      </c>
      <c r="C160" s="195" t="s">
        <v>3628</v>
      </c>
      <c r="D160" s="195" t="s">
        <v>3585</v>
      </c>
      <c r="E160" s="195" t="s">
        <v>3580</v>
      </c>
      <c r="F160" s="195" t="s">
        <v>3586</v>
      </c>
    </row>
    <row r="161" spans="1:6" x14ac:dyDescent="0.35">
      <c r="A161" s="195" t="s">
        <v>3475</v>
      </c>
      <c r="B161" s="64">
        <v>30030</v>
      </c>
      <c r="C161" s="195" t="s">
        <v>3629</v>
      </c>
      <c r="D161" s="195" t="s">
        <v>3585</v>
      </c>
      <c r="E161" s="195" t="s">
        <v>3580</v>
      </c>
      <c r="F161" s="195" t="s">
        <v>3586</v>
      </c>
    </row>
    <row r="162" spans="1:6" x14ac:dyDescent="0.35">
      <c r="A162" s="195" t="s">
        <v>3476</v>
      </c>
      <c r="B162" s="64">
        <v>332019</v>
      </c>
      <c r="C162" s="195" t="s">
        <v>3630</v>
      </c>
      <c r="D162" s="195" t="s">
        <v>3585</v>
      </c>
      <c r="E162" s="195" t="s">
        <v>3580</v>
      </c>
      <c r="F162" s="195" t="s">
        <v>3586</v>
      </c>
    </row>
    <row r="163" spans="1:6" x14ac:dyDescent="0.35">
      <c r="A163" s="195" t="s">
        <v>3477</v>
      </c>
      <c r="B163" s="64">
        <v>286963</v>
      </c>
      <c r="C163" s="195" t="s">
        <v>3631</v>
      </c>
      <c r="D163" s="195" t="s">
        <v>3585</v>
      </c>
      <c r="E163" s="195" t="s">
        <v>3580</v>
      </c>
      <c r="F163" s="195" t="s">
        <v>3586</v>
      </c>
    </row>
    <row r="164" spans="1:6" x14ac:dyDescent="0.35">
      <c r="A164" s="195" t="s">
        <v>3478</v>
      </c>
      <c r="B164" s="195">
        <v>83</v>
      </c>
      <c r="C164" s="195" t="s">
        <v>3632</v>
      </c>
      <c r="D164" s="195" t="s">
        <v>3585</v>
      </c>
      <c r="E164" s="195" t="s">
        <v>3580</v>
      </c>
      <c r="F164" s="195" t="s">
        <v>3586</v>
      </c>
    </row>
    <row r="165" spans="1:6" x14ac:dyDescent="0.35">
      <c r="A165" s="195" t="s">
        <v>3479</v>
      </c>
      <c r="B165" s="64">
        <v>286880</v>
      </c>
      <c r="C165" s="195" t="s">
        <v>3633</v>
      </c>
      <c r="D165" s="195" t="s">
        <v>3585</v>
      </c>
      <c r="E165" s="195" t="s">
        <v>3580</v>
      </c>
      <c r="F165" s="195" t="s">
        <v>3586</v>
      </c>
    </row>
    <row r="166" spans="1:6" x14ac:dyDescent="0.35">
      <c r="A166" s="195" t="s">
        <v>3480</v>
      </c>
      <c r="B166" s="64">
        <v>266356</v>
      </c>
      <c r="C166" s="195" t="s">
        <v>3634</v>
      </c>
      <c r="D166" s="195" t="s">
        <v>3585</v>
      </c>
      <c r="E166" s="195" t="s">
        <v>3580</v>
      </c>
      <c r="F166" s="195" t="s">
        <v>3586</v>
      </c>
    </row>
    <row r="167" spans="1:6" x14ac:dyDescent="0.35">
      <c r="A167" s="195" t="s">
        <v>3481</v>
      </c>
      <c r="B167" s="64">
        <v>20524</v>
      </c>
      <c r="C167" s="195" t="s">
        <v>3635</v>
      </c>
      <c r="D167" s="195" t="s">
        <v>3585</v>
      </c>
      <c r="E167" s="195" t="s">
        <v>3580</v>
      </c>
      <c r="F167" s="195" t="s">
        <v>3586</v>
      </c>
    </row>
    <row r="168" spans="1:6" x14ac:dyDescent="0.35">
      <c r="A168" s="195" t="s">
        <v>3482</v>
      </c>
      <c r="B168" s="64">
        <v>45056</v>
      </c>
      <c r="C168" s="195" t="s">
        <v>3636</v>
      </c>
      <c r="D168" s="195" t="s">
        <v>3585</v>
      </c>
      <c r="E168" s="195" t="s">
        <v>3580</v>
      </c>
      <c r="F168" s="195" t="s">
        <v>3586</v>
      </c>
    </row>
    <row r="169" spans="1:6" x14ac:dyDescent="0.35">
      <c r="A169" s="195" t="s">
        <v>3483</v>
      </c>
      <c r="B169" s="64">
        <v>159782</v>
      </c>
      <c r="C169" s="195" t="s">
        <v>3637</v>
      </c>
      <c r="D169" s="195" t="s">
        <v>3585</v>
      </c>
      <c r="E169" s="195" t="s">
        <v>3580</v>
      </c>
      <c r="F169" s="195" t="s">
        <v>3586</v>
      </c>
    </row>
    <row r="170" spans="1:6" x14ac:dyDescent="0.35">
      <c r="A170" s="195" t="s">
        <v>3484</v>
      </c>
      <c r="B170" s="64">
        <v>123636</v>
      </c>
      <c r="C170" s="195" t="s">
        <v>3638</v>
      </c>
      <c r="D170" s="195" t="s">
        <v>3585</v>
      </c>
      <c r="E170" s="195" t="s">
        <v>3580</v>
      </c>
      <c r="F170" s="195" t="s">
        <v>3586</v>
      </c>
    </row>
    <row r="171" spans="1:6" x14ac:dyDescent="0.35">
      <c r="A171" s="195" t="s">
        <v>3485</v>
      </c>
      <c r="B171" s="195">
        <v>94</v>
      </c>
      <c r="C171" s="195" t="s">
        <v>3639</v>
      </c>
      <c r="D171" s="195" t="s">
        <v>3585</v>
      </c>
      <c r="E171" s="195" t="s">
        <v>3580</v>
      </c>
      <c r="F171" s="195" t="s">
        <v>3586</v>
      </c>
    </row>
    <row r="172" spans="1:6" x14ac:dyDescent="0.35">
      <c r="A172" s="195" t="s">
        <v>3486</v>
      </c>
      <c r="B172" s="64">
        <v>123542</v>
      </c>
      <c r="C172" s="195" t="s">
        <v>3640</v>
      </c>
      <c r="D172" s="195" t="s">
        <v>3585</v>
      </c>
      <c r="E172" s="195" t="s">
        <v>3580</v>
      </c>
      <c r="F172" s="195" t="s">
        <v>3586</v>
      </c>
    </row>
    <row r="173" spans="1:6" x14ac:dyDescent="0.35">
      <c r="A173" s="195" t="s">
        <v>3487</v>
      </c>
      <c r="B173" s="64">
        <v>114486</v>
      </c>
      <c r="C173" s="195" t="s">
        <v>3641</v>
      </c>
      <c r="D173" s="195" t="s">
        <v>3585</v>
      </c>
      <c r="E173" s="195" t="s">
        <v>3580</v>
      </c>
      <c r="F173" s="195" t="s">
        <v>3586</v>
      </c>
    </row>
    <row r="174" spans="1:6" x14ac:dyDescent="0.35">
      <c r="A174" s="195" t="s">
        <v>3488</v>
      </c>
      <c r="B174" s="64">
        <v>9056</v>
      </c>
      <c r="C174" s="195" t="s">
        <v>3642</v>
      </c>
      <c r="D174" s="195" t="s">
        <v>3585</v>
      </c>
      <c r="E174" s="195" t="s">
        <v>3580</v>
      </c>
      <c r="F174" s="195" t="s">
        <v>3586</v>
      </c>
    </row>
    <row r="175" spans="1:6" x14ac:dyDescent="0.35">
      <c r="A175" s="195" t="s">
        <v>3489</v>
      </c>
      <c r="B175" s="64">
        <v>36146</v>
      </c>
      <c r="C175" s="195" t="s">
        <v>3643</v>
      </c>
      <c r="D175" s="195" t="s">
        <v>3585</v>
      </c>
      <c r="E175" s="195" t="s">
        <v>3580</v>
      </c>
      <c r="F175" s="195" t="s">
        <v>3586</v>
      </c>
    </row>
    <row r="176" spans="1:6" x14ac:dyDescent="0.35">
      <c r="A176" s="195" t="s">
        <v>3490</v>
      </c>
      <c r="B176" s="64">
        <v>60297</v>
      </c>
      <c r="C176" s="195" t="s">
        <v>3644</v>
      </c>
      <c r="D176" s="195" t="s">
        <v>3585</v>
      </c>
      <c r="E176" s="195" t="s">
        <v>3580</v>
      </c>
      <c r="F176" s="195" t="s">
        <v>3586</v>
      </c>
    </row>
    <row r="177" spans="1:6" x14ac:dyDescent="0.35">
      <c r="A177" s="195" t="s">
        <v>3491</v>
      </c>
      <c r="B177" s="64">
        <v>41941</v>
      </c>
      <c r="C177" s="195" t="s">
        <v>3645</v>
      </c>
      <c r="D177" s="195" t="s">
        <v>3585</v>
      </c>
      <c r="E177" s="195" t="s">
        <v>3580</v>
      </c>
      <c r="F177" s="195" t="s">
        <v>3586</v>
      </c>
    </row>
    <row r="178" spans="1:6" x14ac:dyDescent="0.35">
      <c r="A178" s="195" t="s">
        <v>3492</v>
      </c>
      <c r="B178" s="195">
        <v>0</v>
      </c>
      <c r="C178" s="195" t="s">
        <v>3646</v>
      </c>
      <c r="D178" s="195" t="s">
        <v>3585</v>
      </c>
      <c r="E178" s="195" t="s">
        <v>3580</v>
      </c>
      <c r="F178" s="195" t="s">
        <v>3586</v>
      </c>
    </row>
    <row r="179" spans="1:6" x14ac:dyDescent="0.35">
      <c r="A179" s="195" t="s">
        <v>3493</v>
      </c>
      <c r="B179" s="64">
        <v>41941</v>
      </c>
      <c r="C179" s="195" t="s">
        <v>3647</v>
      </c>
      <c r="D179" s="195" t="s">
        <v>3585</v>
      </c>
      <c r="E179" s="195" t="s">
        <v>3580</v>
      </c>
      <c r="F179" s="195" t="s">
        <v>3586</v>
      </c>
    </row>
    <row r="180" spans="1:6" x14ac:dyDescent="0.35">
      <c r="A180" s="195" t="s">
        <v>3494</v>
      </c>
      <c r="B180" s="64">
        <v>38818</v>
      </c>
      <c r="C180" s="195" t="s">
        <v>3648</v>
      </c>
      <c r="D180" s="195" t="s">
        <v>3585</v>
      </c>
      <c r="E180" s="195" t="s">
        <v>3580</v>
      </c>
      <c r="F180" s="195" t="s">
        <v>3586</v>
      </c>
    </row>
    <row r="181" spans="1:6" x14ac:dyDescent="0.35">
      <c r="A181" s="195" t="s">
        <v>3495</v>
      </c>
      <c r="B181" s="64">
        <v>3123</v>
      </c>
      <c r="C181" s="195" t="s">
        <v>3649</v>
      </c>
      <c r="D181" s="195" t="s">
        <v>3585</v>
      </c>
      <c r="E181" s="195" t="s">
        <v>3580</v>
      </c>
      <c r="F181" s="195" t="s">
        <v>3586</v>
      </c>
    </row>
    <row r="182" spans="1:6" x14ac:dyDescent="0.35">
      <c r="A182" s="195" t="s">
        <v>3496</v>
      </c>
      <c r="B182" s="64">
        <v>18356</v>
      </c>
      <c r="C182" s="195" t="s">
        <v>3650</v>
      </c>
      <c r="D182" s="195" t="s">
        <v>3585</v>
      </c>
      <c r="E182" s="195" t="s">
        <v>3580</v>
      </c>
      <c r="F182" s="195" t="s">
        <v>3586</v>
      </c>
    </row>
    <row r="183" spans="1:6" x14ac:dyDescent="0.35">
      <c r="A183" s="195" t="s">
        <v>3497</v>
      </c>
      <c r="B183" s="64">
        <v>79152</v>
      </c>
      <c r="C183" s="195" t="s">
        <v>3651</v>
      </c>
      <c r="D183" s="195" t="s">
        <v>3585</v>
      </c>
      <c r="E183" s="195" t="s">
        <v>3580</v>
      </c>
      <c r="F183" s="195" t="s">
        <v>3586</v>
      </c>
    </row>
    <row r="184" spans="1:6" x14ac:dyDescent="0.35">
      <c r="A184" s="195" t="s">
        <v>3498</v>
      </c>
      <c r="B184" s="64">
        <v>45343</v>
      </c>
      <c r="C184" s="195" t="s">
        <v>3652</v>
      </c>
      <c r="D184" s="195" t="s">
        <v>3585</v>
      </c>
      <c r="E184" s="195" t="s">
        <v>3580</v>
      </c>
      <c r="F184" s="195" t="s">
        <v>3586</v>
      </c>
    </row>
    <row r="185" spans="1:6" x14ac:dyDescent="0.35">
      <c r="A185" s="195" t="s">
        <v>3499</v>
      </c>
      <c r="B185" s="195">
        <v>0</v>
      </c>
      <c r="C185" s="195" t="s">
        <v>3653</v>
      </c>
      <c r="D185" s="195" t="s">
        <v>3585</v>
      </c>
      <c r="E185" s="195" t="s">
        <v>3580</v>
      </c>
      <c r="F185" s="195" t="s">
        <v>3586</v>
      </c>
    </row>
    <row r="186" spans="1:6" x14ac:dyDescent="0.35">
      <c r="A186" s="195" t="s">
        <v>3500</v>
      </c>
      <c r="B186" s="64">
        <v>45343</v>
      </c>
      <c r="C186" s="195" t="s">
        <v>3654</v>
      </c>
      <c r="D186" s="195" t="s">
        <v>3585</v>
      </c>
      <c r="E186" s="195" t="s">
        <v>3580</v>
      </c>
      <c r="F186" s="195" t="s">
        <v>3586</v>
      </c>
    </row>
    <row r="187" spans="1:6" x14ac:dyDescent="0.35">
      <c r="A187" s="195" t="s">
        <v>3501</v>
      </c>
      <c r="B187" s="64">
        <v>42887</v>
      </c>
      <c r="C187" s="195" t="s">
        <v>3655</v>
      </c>
      <c r="D187" s="195" t="s">
        <v>3585</v>
      </c>
      <c r="E187" s="195" t="s">
        <v>3580</v>
      </c>
      <c r="F187" s="195" t="s">
        <v>3586</v>
      </c>
    </row>
    <row r="188" spans="1:6" x14ac:dyDescent="0.35">
      <c r="A188" s="195" t="s">
        <v>3502</v>
      </c>
      <c r="B188" s="64">
        <v>2456</v>
      </c>
      <c r="C188" s="195" t="s">
        <v>3656</v>
      </c>
      <c r="D188" s="195" t="s">
        <v>3585</v>
      </c>
      <c r="E188" s="195" t="s">
        <v>3580</v>
      </c>
      <c r="F188" s="195" t="s">
        <v>3586</v>
      </c>
    </row>
    <row r="189" spans="1:6" x14ac:dyDescent="0.35">
      <c r="A189" s="195" t="s">
        <v>3503</v>
      </c>
      <c r="B189" s="64">
        <v>33809</v>
      </c>
      <c r="C189" s="195" t="s">
        <v>3657</v>
      </c>
      <c r="D189" s="195" t="s">
        <v>3585</v>
      </c>
      <c r="E189" s="195" t="s">
        <v>3580</v>
      </c>
      <c r="F189" s="195" t="s">
        <v>3586</v>
      </c>
    </row>
    <row r="190" spans="1:6" x14ac:dyDescent="0.35">
      <c r="A190" s="195" t="s">
        <v>3504</v>
      </c>
      <c r="B190" s="64">
        <v>2185548</v>
      </c>
      <c r="C190" s="195" t="s">
        <v>3658</v>
      </c>
      <c r="D190" s="195" t="s">
        <v>3585</v>
      </c>
      <c r="E190" s="195" t="s">
        <v>3580</v>
      </c>
      <c r="F190" s="195" t="s">
        <v>3586</v>
      </c>
    </row>
    <row r="191" spans="1:6" x14ac:dyDescent="0.35">
      <c r="A191" s="195" t="s">
        <v>3505</v>
      </c>
      <c r="B191" s="64">
        <v>128185</v>
      </c>
      <c r="C191" s="195" t="s">
        <v>3659</v>
      </c>
      <c r="D191" s="195" t="s">
        <v>3585</v>
      </c>
      <c r="E191" s="195" t="s">
        <v>3580</v>
      </c>
      <c r="F191" s="195" t="s">
        <v>3586</v>
      </c>
    </row>
    <row r="192" spans="1:6" x14ac:dyDescent="0.35">
      <c r="A192" s="195" t="s">
        <v>3506</v>
      </c>
      <c r="B192" s="64">
        <v>42280</v>
      </c>
      <c r="C192" s="195" t="s">
        <v>3660</v>
      </c>
      <c r="D192" s="195" t="s">
        <v>3585</v>
      </c>
      <c r="E192" s="195" t="s">
        <v>3580</v>
      </c>
      <c r="F192" s="195" t="s">
        <v>3586</v>
      </c>
    </row>
    <row r="193" spans="1:6" x14ac:dyDescent="0.35">
      <c r="A193" s="195" t="s">
        <v>3507</v>
      </c>
      <c r="B193" s="195">
        <v>0</v>
      </c>
      <c r="C193" s="195" t="s">
        <v>3661</v>
      </c>
      <c r="D193" s="195" t="s">
        <v>3585</v>
      </c>
      <c r="E193" s="195" t="s">
        <v>3580</v>
      </c>
      <c r="F193" s="195" t="s">
        <v>3586</v>
      </c>
    </row>
    <row r="194" spans="1:6" x14ac:dyDescent="0.35">
      <c r="A194" s="195" t="s">
        <v>3508</v>
      </c>
      <c r="B194" s="64">
        <v>42280</v>
      </c>
      <c r="C194" s="195" t="s">
        <v>3662</v>
      </c>
      <c r="D194" s="195" t="s">
        <v>3585</v>
      </c>
      <c r="E194" s="195" t="s">
        <v>3580</v>
      </c>
      <c r="F194" s="195" t="s">
        <v>3586</v>
      </c>
    </row>
    <row r="195" spans="1:6" x14ac:dyDescent="0.35">
      <c r="A195" s="195" t="s">
        <v>3509</v>
      </c>
      <c r="B195" s="64">
        <v>29335</v>
      </c>
      <c r="C195" s="195" t="s">
        <v>3663</v>
      </c>
      <c r="D195" s="195" t="s">
        <v>3585</v>
      </c>
      <c r="E195" s="195" t="s">
        <v>3580</v>
      </c>
      <c r="F195" s="195" t="s">
        <v>3586</v>
      </c>
    </row>
    <row r="196" spans="1:6" x14ac:dyDescent="0.35">
      <c r="A196" s="195" t="s">
        <v>3510</v>
      </c>
      <c r="B196" s="64">
        <v>12945</v>
      </c>
      <c r="C196" s="195" t="s">
        <v>3664</v>
      </c>
      <c r="D196" s="195" t="s">
        <v>3585</v>
      </c>
      <c r="E196" s="195" t="s">
        <v>3580</v>
      </c>
      <c r="F196" s="195" t="s">
        <v>3586</v>
      </c>
    </row>
    <row r="197" spans="1:6" x14ac:dyDescent="0.35">
      <c r="A197" s="195" t="s">
        <v>3511</v>
      </c>
      <c r="B197" s="64">
        <v>85905</v>
      </c>
      <c r="C197" s="195" t="s">
        <v>3665</v>
      </c>
      <c r="D197" s="195" t="s">
        <v>3585</v>
      </c>
      <c r="E197" s="195" t="s">
        <v>3580</v>
      </c>
      <c r="F197" s="195" t="s">
        <v>3586</v>
      </c>
    </row>
    <row r="198" spans="1:6" x14ac:dyDescent="0.35">
      <c r="A198" s="195" t="s">
        <v>3512</v>
      </c>
      <c r="B198" s="64">
        <v>66879</v>
      </c>
      <c r="C198" s="195" t="s">
        <v>3666</v>
      </c>
      <c r="D198" s="195" t="s">
        <v>3585</v>
      </c>
      <c r="E198" s="195" t="s">
        <v>3580</v>
      </c>
      <c r="F198" s="195" t="s">
        <v>3586</v>
      </c>
    </row>
    <row r="199" spans="1:6" x14ac:dyDescent="0.35">
      <c r="A199" s="195" t="s">
        <v>3513</v>
      </c>
      <c r="B199" s="64">
        <v>44740</v>
      </c>
      <c r="C199" s="195" t="s">
        <v>3667</v>
      </c>
      <c r="D199" s="195" t="s">
        <v>3585</v>
      </c>
      <c r="E199" s="195" t="s">
        <v>3580</v>
      </c>
      <c r="F199" s="195" t="s">
        <v>3586</v>
      </c>
    </row>
    <row r="200" spans="1:6" x14ac:dyDescent="0.35">
      <c r="A200" s="195" t="s">
        <v>3514</v>
      </c>
      <c r="B200" s="195">
        <v>26</v>
      </c>
      <c r="C200" s="195" t="s">
        <v>3668</v>
      </c>
      <c r="D200" s="195" t="s">
        <v>3585</v>
      </c>
      <c r="E200" s="195" t="s">
        <v>3580</v>
      </c>
      <c r="F200" s="195" t="s">
        <v>3586</v>
      </c>
    </row>
    <row r="201" spans="1:6" x14ac:dyDescent="0.35">
      <c r="A201" s="195" t="s">
        <v>3515</v>
      </c>
      <c r="B201" s="64">
        <v>44714</v>
      </c>
      <c r="C201" s="195" t="s">
        <v>3669</v>
      </c>
      <c r="D201" s="195" t="s">
        <v>3585</v>
      </c>
      <c r="E201" s="195" t="s">
        <v>3580</v>
      </c>
      <c r="F201" s="195" t="s">
        <v>3586</v>
      </c>
    </row>
    <row r="202" spans="1:6" x14ac:dyDescent="0.35">
      <c r="A202" s="195" t="s">
        <v>3516</v>
      </c>
      <c r="B202" s="64">
        <v>36431</v>
      </c>
      <c r="C202" s="195" t="s">
        <v>3670</v>
      </c>
      <c r="D202" s="195" t="s">
        <v>3585</v>
      </c>
      <c r="E202" s="195" t="s">
        <v>3580</v>
      </c>
      <c r="F202" s="195" t="s">
        <v>3586</v>
      </c>
    </row>
    <row r="203" spans="1:6" x14ac:dyDescent="0.35">
      <c r="A203" s="195" t="s">
        <v>3517</v>
      </c>
      <c r="B203" s="64">
        <v>8283</v>
      </c>
      <c r="C203" s="195" t="s">
        <v>3671</v>
      </c>
      <c r="D203" s="195" t="s">
        <v>3585</v>
      </c>
      <c r="E203" s="195" t="s">
        <v>3580</v>
      </c>
      <c r="F203" s="195" t="s">
        <v>3586</v>
      </c>
    </row>
    <row r="204" spans="1:6" x14ac:dyDescent="0.35">
      <c r="A204" s="195" t="s">
        <v>3518</v>
      </c>
      <c r="B204" s="64">
        <v>22139</v>
      </c>
      <c r="C204" s="195" t="s">
        <v>3672</v>
      </c>
      <c r="D204" s="195" t="s">
        <v>3585</v>
      </c>
      <c r="E204" s="195" t="s">
        <v>3580</v>
      </c>
      <c r="F204" s="195" t="s">
        <v>3586</v>
      </c>
    </row>
    <row r="205" spans="1:6" x14ac:dyDescent="0.35">
      <c r="A205" s="195" t="s">
        <v>3519</v>
      </c>
      <c r="B205" s="64">
        <v>113451</v>
      </c>
      <c r="C205" s="195" t="s">
        <v>3673</v>
      </c>
      <c r="D205" s="195" t="s">
        <v>3585</v>
      </c>
      <c r="E205" s="195" t="s">
        <v>3580</v>
      </c>
      <c r="F205" s="195" t="s">
        <v>3586</v>
      </c>
    </row>
    <row r="206" spans="1:6" x14ac:dyDescent="0.35">
      <c r="A206" s="195" t="s">
        <v>3520</v>
      </c>
      <c r="B206" s="64">
        <v>86973</v>
      </c>
      <c r="C206" s="195" t="s">
        <v>3674</v>
      </c>
      <c r="D206" s="195" t="s">
        <v>3585</v>
      </c>
      <c r="E206" s="195" t="s">
        <v>3580</v>
      </c>
      <c r="F206" s="195" t="s">
        <v>3586</v>
      </c>
    </row>
    <row r="207" spans="1:6" x14ac:dyDescent="0.35">
      <c r="A207" s="195" t="s">
        <v>3521</v>
      </c>
      <c r="B207" s="195">
        <v>52</v>
      </c>
      <c r="C207" s="195" t="s">
        <v>3675</v>
      </c>
      <c r="D207" s="195" t="s">
        <v>3585</v>
      </c>
      <c r="E207" s="195" t="s">
        <v>3580</v>
      </c>
      <c r="F207" s="195" t="s">
        <v>3586</v>
      </c>
    </row>
    <row r="208" spans="1:6" x14ac:dyDescent="0.35">
      <c r="A208" s="195" t="s">
        <v>3522</v>
      </c>
      <c r="B208" s="64">
        <v>86921</v>
      </c>
      <c r="C208" s="195" t="s">
        <v>3676</v>
      </c>
      <c r="D208" s="195" t="s">
        <v>3585</v>
      </c>
      <c r="E208" s="195" t="s">
        <v>3580</v>
      </c>
      <c r="F208" s="195" t="s">
        <v>3586</v>
      </c>
    </row>
    <row r="209" spans="1:6" x14ac:dyDescent="0.35">
      <c r="A209" s="195" t="s">
        <v>3523</v>
      </c>
      <c r="B209" s="64">
        <v>74835</v>
      </c>
      <c r="C209" s="195" t="s">
        <v>3677</v>
      </c>
      <c r="D209" s="195" t="s">
        <v>3585</v>
      </c>
      <c r="E209" s="195" t="s">
        <v>3580</v>
      </c>
      <c r="F209" s="195" t="s">
        <v>3586</v>
      </c>
    </row>
    <row r="210" spans="1:6" x14ac:dyDescent="0.35">
      <c r="A210" s="195" t="s">
        <v>3524</v>
      </c>
      <c r="B210" s="64">
        <v>12086</v>
      </c>
      <c r="C210" s="195" t="s">
        <v>3678</v>
      </c>
      <c r="D210" s="195" t="s">
        <v>3585</v>
      </c>
      <c r="E210" s="195" t="s">
        <v>3580</v>
      </c>
      <c r="F210" s="195" t="s">
        <v>3586</v>
      </c>
    </row>
    <row r="211" spans="1:6" x14ac:dyDescent="0.35">
      <c r="A211" s="195" t="s">
        <v>3525</v>
      </c>
      <c r="B211" s="64">
        <v>26478</v>
      </c>
      <c r="C211" s="195" t="s">
        <v>3679</v>
      </c>
      <c r="D211" s="195" t="s">
        <v>3585</v>
      </c>
      <c r="E211" s="195" t="s">
        <v>3580</v>
      </c>
      <c r="F211" s="195" t="s">
        <v>3586</v>
      </c>
    </row>
    <row r="212" spans="1:6" x14ac:dyDescent="0.35">
      <c r="A212" s="195" t="s">
        <v>3526</v>
      </c>
      <c r="B212" s="64">
        <v>219832</v>
      </c>
      <c r="C212" s="195" t="s">
        <v>3680</v>
      </c>
      <c r="D212" s="195" t="s">
        <v>3585</v>
      </c>
      <c r="E212" s="195" t="s">
        <v>3580</v>
      </c>
      <c r="F212" s="195" t="s">
        <v>3586</v>
      </c>
    </row>
    <row r="213" spans="1:6" x14ac:dyDescent="0.35">
      <c r="A213" s="195" t="s">
        <v>3527</v>
      </c>
      <c r="B213" s="64">
        <v>181039</v>
      </c>
      <c r="C213" s="195" t="s">
        <v>3681</v>
      </c>
      <c r="D213" s="195" t="s">
        <v>3585</v>
      </c>
      <c r="E213" s="195" t="s">
        <v>3580</v>
      </c>
      <c r="F213" s="195" t="s">
        <v>3586</v>
      </c>
    </row>
    <row r="214" spans="1:6" x14ac:dyDescent="0.35">
      <c r="A214" s="195" t="s">
        <v>3528</v>
      </c>
      <c r="B214" s="195">
        <v>90</v>
      </c>
      <c r="C214" s="195" t="s">
        <v>3682</v>
      </c>
      <c r="D214" s="195" t="s">
        <v>3585</v>
      </c>
      <c r="E214" s="195" t="s">
        <v>3580</v>
      </c>
      <c r="F214" s="195" t="s">
        <v>3586</v>
      </c>
    </row>
    <row r="215" spans="1:6" x14ac:dyDescent="0.35">
      <c r="A215" s="195" t="s">
        <v>3529</v>
      </c>
      <c r="B215" s="64">
        <v>180949</v>
      </c>
      <c r="C215" s="195" t="s">
        <v>3683</v>
      </c>
      <c r="D215" s="195" t="s">
        <v>3585</v>
      </c>
      <c r="E215" s="195" t="s">
        <v>3580</v>
      </c>
      <c r="F215" s="195" t="s">
        <v>3586</v>
      </c>
    </row>
    <row r="216" spans="1:6" x14ac:dyDescent="0.35">
      <c r="A216" s="195" t="s">
        <v>3530</v>
      </c>
      <c r="B216" s="64">
        <v>166227</v>
      </c>
      <c r="C216" s="195" t="s">
        <v>3684</v>
      </c>
      <c r="D216" s="195" t="s">
        <v>3585</v>
      </c>
      <c r="E216" s="195" t="s">
        <v>3580</v>
      </c>
      <c r="F216" s="195" t="s">
        <v>3586</v>
      </c>
    </row>
    <row r="217" spans="1:6" x14ac:dyDescent="0.35">
      <c r="A217" s="195" t="s">
        <v>3531</v>
      </c>
      <c r="B217" s="64">
        <v>14722</v>
      </c>
      <c r="C217" s="195" t="s">
        <v>3685</v>
      </c>
      <c r="D217" s="195" t="s">
        <v>3585</v>
      </c>
      <c r="E217" s="195" t="s">
        <v>3580</v>
      </c>
      <c r="F217" s="195" t="s">
        <v>3586</v>
      </c>
    </row>
    <row r="218" spans="1:6" x14ac:dyDescent="0.35">
      <c r="A218" s="195" t="s">
        <v>3532</v>
      </c>
      <c r="B218" s="64">
        <v>38793</v>
      </c>
      <c r="C218" s="195" t="s">
        <v>3686</v>
      </c>
      <c r="D218" s="195" t="s">
        <v>3585</v>
      </c>
      <c r="E218" s="195" t="s">
        <v>3580</v>
      </c>
      <c r="F218" s="195" t="s">
        <v>3586</v>
      </c>
    </row>
    <row r="219" spans="1:6" x14ac:dyDescent="0.35">
      <c r="A219" s="195" t="s">
        <v>3533</v>
      </c>
      <c r="B219" s="64">
        <v>209284</v>
      </c>
      <c r="C219" s="195" t="s">
        <v>3687</v>
      </c>
      <c r="D219" s="195" t="s">
        <v>3585</v>
      </c>
      <c r="E219" s="195" t="s">
        <v>3580</v>
      </c>
      <c r="F219" s="195" t="s">
        <v>3586</v>
      </c>
    </row>
    <row r="220" spans="1:6" x14ac:dyDescent="0.35">
      <c r="A220" s="195" t="s">
        <v>3534</v>
      </c>
      <c r="B220" s="64">
        <v>165897</v>
      </c>
      <c r="C220" s="195" t="s">
        <v>3688</v>
      </c>
      <c r="D220" s="195" t="s">
        <v>3585</v>
      </c>
      <c r="E220" s="195" t="s">
        <v>3580</v>
      </c>
      <c r="F220" s="195" t="s">
        <v>3586</v>
      </c>
    </row>
    <row r="221" spans="1:6" x14ac:dyDescent="0.35">
      <c r="A221" s="195" t="s">
        <v>3535</v>
      </c>
      <c r="B221" s="195">
        <v>16</v>
      </c>
      <c r="C221" s="195" t="s">
        <v>3689</v>
      </c>
      <c r="D221" s="195" t="s">
        <v>3585</v>
      </c>
      <c r="E221" s="195" t="s">
        <v>3580</v>
      </c>
      <c r="F221" s="195" t="s">
        <v>3586</v>
      </c>
    </row>
    <row r="222" spans="1:6" x14ac:dyDescent="0.35">
      <c r="A222" s="195" t="s">
        <v>3536</v>
      </c>
      <c r="B222" s="64">
        <v>165881</v>
      </c>
      <c r="C222" s="195" t="s">
        <v>3690</v>
      </c>
      <c r="D222" s="195" t="s">
        <v>3585</v>
      </c>
      <c r="E222" s="195" t="s">
        <v>3580</v>
      </c>
      <c r="F222" s="195" t="s">
        <v>3586</v>
      </c>
    </row>
    <row r="223" spans="1:6" x14ac:dyDescent="0.35">
      <c r="A223" s="195" t="s">
        <v>3537</v>
      </c>
      <c r="B223" s="64">
        <v>153398</v>
      </c>
      <c r="C223" s="195" t="s">
        <v>3691</v>
      </c>
      <c r="D223" s="195" t="s">
        <v>3585</v>
      </c>
      <c r="E223" s="195" t="s">
        <v>3580</v>
      </c>
      <c r="F223" s="195" t="s">
        <v>3586</v>
      </c>
    </row>
    <row r="224" spans="1:6" x14ac:dyDescent="0.35">
      <c r="A224" s="195" t="s">
        <v>3538</v>
      </c>
      <c r="B224" s="64">
        <v>12483</v>
      </c>
      <c r="C224" s="195" t="s">
        <v>3692</v>
      </c>
      <c r="D224" s="195" t="s">
        <v>3585</v>
      </c>
      <c r="E224" s="195" t="s">
        <v>3580</v>
      </c>
      <c r="F224" s="195" t="s">
        <v>3586</v>
      </c>
    </row>
    <row r="225" spans="1:6" x14ac:dyDescent="0.35">
      <c r="A225" s="195" t="s">
        <v>3539</v>
      </c>
      <c r="B225" s="64">
        <v>43387</v>
      </c>
      <c r="C225" s="195" t="s">
        <v>3693</v>
      </c>
      <c r="D225" s="195" t="s">
        <v>3585</v>
      </c>
      <c r="E225" s="195" t="s">
        <v>3580</v>
      </c>
      <c r="F225" s="195" t="s">
        <v>3586</v>
      </c>
    </row>
    <row r="226" spans="1:6" x14ac:dyDescent="0.35">
      <c r="A226" s="195" t="s">
        <v>3540</v>
      </c>
      <c r="B226" s="64">
        <v>356328</v>
      </c>
      <c r="C226" s="195" t="s">
        <v>3694</v>
      </c>
      <c r="D226" s="195" t="s">
        <v>3585</v>
      </c>
      <c r="E226" s="195" t="s">
        <v>3580</v>
      </c>
      <c r="F226" s="195" t="s">
        <v>3586</v>
      </c>
    </row>
    <row r="227" spans="1:6" x14ac:dyDescent="0.35">
      <c r="A227" s="195" t="s">
        <v>3541</v>
      </c>
      <c r="B227" s="64">
        <v>274289</v>
      </c>
      <c r="C227" s="195" t="s">
        <v>3695</v>
      </c>
      <c r="D227" s="195" t="s">
        <v>3585</v>
      </c>
      <c r="E227" s="195" t="s">
        <v>3580</v>
      </c>
      <c r="F227" s="195" t="s">
        <v>3586</v>
      </c>
    </row>
    <row r="228" spans="1:6" x14ac:dyDescent="0.35">
      <c r="A228" s="195" t="s">
        <v>3542</v>
      </c>
      <c r="B228" s="195">
        <v>63</v>
      </c>
      <c r="C228" s="195" t="s">
        <v>3696</v>
      </c>
      <c r="D228" s="195" t="s">
        <v>3585</v>
      </c>
      <c r="E228" s="195" t="s">
        <v>3580</v>
      </c>
      <c r="F228" s="195" t="s">
        <v>3586</v>
      </c>
    </row>
    <row r="229" spans="1:6" x14ac:dyDescent="0.35">
      <c r="A229" s="195" t="s">
        <v>3543</v>
      </c>
      <c r="B229" s="64">
        <v>274226</v>
      </c>
      <c r="C229" s="195" t="s">
        <v>3697</v>
      </c>
      <c r="D229" s="195" t="s">
        <v>3585</v>
      </c>
      <c r="E229" s="195" t="s">
        <v>3580</v>
      </c>
      <c r="F229" s="195" t="s">
        <v>3586</v>
      </c>
    </row>
    <row r="230" spans="1:6" x14ac:dyDescent="0.35">
      <c r="A230" s="195" t="s">
        <v>3544</v>
      </c>
      <c r="B230" s="64">
        <v>254473</v>
      </c>
      <c r="C230" s="195" t="s">
        <v>3698</v>
      </c>
      <c r="D230" s="195" t="s">
        <v>3585</v>
      </c>
      <c r="E230" s="195" t="s">
        <v>3580</v>
      </c>
      <c r="F230" s="195" t="s">
        <v>3586</v>
      </c>
    </row>
    <row r="231" spans="1:6" x14ac:dyDescent="0.35">
      <c r="A231" s="195" t="s">
        <v>3545</v>
      </c>
      <c r="B231" s="64">
        <v>19753</v>
      </c>
      <c r="C231" s="195" t="s">
        <v>3699</v>
      </c>
      <c r="D231" s="195" t="s">
        <v>3585</v>
      </c>
      <c r="E231" s="195" t="s">
        <v>3580</v>
      </c>
      <c r="F231" s="195" t="s">
        <v>3586</v>
      </c>
    </row>
    <row r="232" spans="1:6" x14ac:dyDescent="0.35">
      <c r="A232" s="195" t="s">
        <v>3546</v>
      </c>
      <c r="B232" s="64">
        <v>82039</v>
      </c>
      <c r="C232" s="195" t="s">
        <v>3700</v>
      </c>
      <c r="D232" s="195" t="s">
        <v>3585</v>
      </c>
      <c r="E232" s="195" t="s">
        <v>3580</v>
      </c>
      <c r="F232" s="195" t="s">
        <v>3586</v>
      </c>
    </row>
    <row r="233" spans="1:6" x14ac:dyDescent="0.35">
      <c r="A233" s="195" t="s">
        <v>3547</v>
      </c>
      <c r="B233" s="64">
        <v>346698</v>
      </c>
      <c r="C233" s="195" t="s">
        <v>3701</v>
      </c>
      <c r="D233" s="195" t="s">
        <v>3585</v>
      </c>
      <c r="E233" s="195" t="s">
        <v>3580</v>
      </c>
      <c r="F233" s="195" t="s">
        <v>3586</v>
      </c>
    </row>
    <row r="234" spans="1:6" x14ac:dyDescent="0.35">
      <c r="A234" s="195" t="s">
        <v>3548</v>
      </c>
      <c r="B234" s="64">
        <v>265010</v>
      </c>
      <c r="C234" s="195" t="s">
        <v>3702</v>
      </c>
      <c r="D234" s="195" t="s">
        <v>3585</v>
      </c>
      <c r="E234" s="195" t="s">
        <v>3580</v>
      </c>
      <c r="F234" s="195" t="s">
        <v>3586</v>
      </c>
    </row>
    <row r="235" spans="1:6" x14ac:dyDescent="0.35">
      <c r="A235" s="195" t="s">
        <v>3549</v>
      </c>
      <c r="B235" s="195">
        <v>5</v>
      </c>
      <c r="C235" s="195" t="s">
        <v>3703</v>
      </c>
      <c r="D235" s="195" t="s">
        <v>3585</v>
      </c>
      <c r="E235" s="195" t="s">
        <v>3580</v>
      </c>
      <c r="F235" s="195" t="s">
        <v>3586</v>
      </c>
    </row>
    <row r="236" spans="1:6" x14ac:dyDescent="0.35">
      <c r="A236" s="195" t="s">
        <v>3550</v>
      </c>
      <c r="B236" s="64">
        <v>265005</v>
      </c>
      <c r="C236" s="195" t="s">
        <v>3704</v>
      </c>
      <c r="D236" s="195" t="s">
        <v>3585</v>
      </c>
      <c r="E236" s="195" t="s">
        <v>3580</v>
      </c>
      <c r="F236" s="195" t="s">
        <v>3586</v>
      </c>
    </row>
    <row r="237" spans="1:6" x14ac:dyDescent="0.35">
      <c r="A237" s="195" t="s">
        <v>3551</v>
      </c>
      <c r="B237" s="64">
        <v>246806</v>
      </c>
      <c r="C237" s="195" t="s">
        <v>3705</v>
      </c>
      <c r="D237" s="195" t="s">
        <v>3585</v>
      </c>
      <c r="E237" s="195" t="s">
        <v>3580</v>
      </c>
      <c r="F237" s="195" t="s">
        <v>3586</v>
      </c>
    </row>
    <row r="238" spans="1:6" x14ac:dyDescent="0.35">
      <c r="A238" s="195" t="s">
        <v>3552</v>
      </c>
      <c r="B238" s="64">
        <v>18199</v>
      </c>
      <c r="C238" s="195" t="s">
        <v>3706</v>
      </c>
      <c r="D238" s="195" t="s">
        <v>3585</v>
      </c>
      <c r="E238" s="195" t="s">
        <v>3580</v>
      </c>
      <c r="F238" s="195" t="s">
        <v>3586</v>
      </c>
    </row>
    <row r="239" spans="1:6" x14ac:dyDescent="0.35">
      <c r="A239" s="195" t="s">
        <v>3553</v>
      </c>
      <c r="B239" s="64">
        <v>81688</v>
      </c>
      <c r="C239" s="195" t="s">
        <v>3707</v>
      </c>
      <c r="D239" s="195" t="s">
        <v>3585</v>
      </c>
      <c r="E239" s="195" t="s">
        <v>3580</v>
      </c>
      <c r="F239" s="195" t="s">
        <v>3586</v>
      </c>
    </row>
    <row r="240" spans="1:6" x14ac:dyDescent="0.35">
      <c r="A240" s="195" t="s">
        <v>3554</v>
      </c>
      <c r="B240" s="64">
        <v>175264</v>
      </c>
      <c r="C240" s="195" t="s">
        <v>3708</v>
      </c>
      <c r="D240" s="195" t="s">
        <v>3585</v>
      </c>
      <c r="E240" s="195" t="s">
        <v>3580</v>
      </c>
      <c r="F240" s="195" t="s">
        <v>3586</v>
      </c>
    </row>
    <row r="241" spans="1:6" x14ac:dyDescent="0.35">
      <c r="A241" s="195" t="s">
        <v>3555</v>
      </c>
      <c r="B241" s="64">
        <v>121313</v>
      </c>
      <c r="C241" s="195" t="s">
        <v>3709</v>
      </c>
      <c r="D241" s="195" t="s">
        <v>3585</v>
      </c>
      <c r="E241" s="195" t="s">
        <v>3580</v>
      </c>
      <c r="F241" s="195" t="s">
        <v>3586</v>
      </c>
    </row>
    <row r="242" spans="1:6" x14ac:dyDescent="0.35">
      <c r="A242" s="195" t="s">
        <v>3556</v>
      </c>
      <c r="B242" s="195">
        <v>0</v>
      </c>
      <c r="C242" s="195" t="s">
        <v>3710</v>
      </c>
      <c r="D242" s="195" t="s">
        <v>3585</v>
      </c>
      <c r="E242" s="195" t="s">
        <v>3580</v>
      </c>
      <c r="F242" s="195" t="s">
        <v>3586</v>
      </c>
    </row>
    <row r="243" spans="1:6" x14ac:dyDescent="0.35">
      <c r="A243" s="195" t="s">
        <v>3557</v>
      </c>
      <c r="B243" s="64">
        <v>121313</v>
      </c>
      <c r="C243" s="195" t="s">
        <v>3711</v>
      </c>
      <c r="D243" s="195" t="s">
        <v>3585</v>
      </c>
      <c r="E243" s="195" t="s">
        <v>3580</v>
      </c>
      <c r="F243" s="195" t="s">
        <v>3586</v>
      </c>
    </row>
    <row r="244" spans="1:6" x14ac:dyDescent="0.35">
      <c r="A244" s="195" t="s">
        <v>3558</v>
      </c>
      <c r="B244" s="64">
        <v>113040</v>
      </c>
      <c r="C244" s="195" t="s">
        <v>3712</v>
      </c>
      <c r="D244" s="195" t="s">
        <v>3585</v>
      </c>
      <c r="E244" s="195" t="s">
        <v>3580</v>
      </c>
      <c r="F244" s="195" t="s">
        <v>3586</v>
      </c>
    </row>
    <row r="245" spans="1:6" x14ac:dyDescent="0.35">
      <c r="A245" s="195" t="s">
        <v>3559</v>
      </c>
      <c r="B245" s="64">
        <v>8273</v>
      </c>
      <c r="C245" s="195" t="s">
        <v>3713</v>
      </c>
      <c r="D245" s="195" t="s">
        <v>3585</v>
      </c>
      <c r="E245" s="195" t="s">
        <v>3580</v>
      </c>
      <c r="F245" s="195" t="s">
        <v>3586</v>
      </c>
    </row>
    <row r="246" spans="1:6" x14ac:dyDescent="0.35">
      <c r="A246" s="195" t="s">
        <v>3560</v>
      </c>
      <c r="B246" s="64">
        <v>53951</v>
      </c>
      <c r="C246" s="195" t="s">
        <v>3714</v>
      </c>
      <c r="D246" s="195" t="s">
        <v>3585</v>
      </c>
      <c r="E246" s="195" t="s">
        <v>3580</v>
      </c>
      <c r="F246" s="195" t="s">
        <v>3586</v>
      </c>
    </row>
    <row r="247" spans="1:6" x14ac:dyDescent="0.35">
      <c r="A247" s="195" t="s">
        <v>3561</v>
      </c>
      <c r="B247" s="64">
        <v>67173</v>
      </c>
      <c r="C247" s="195" t="s">
        <v>3715</v>
      </c>
      <c r="D247" s="195" t="s">
        <v>3585</v>
      </c>
      <c r="E247" s="195" t="s">
        <v>3580</v>
      </c>
      <c r="F247" s="195" t="s">
        <v>3586</v>
      </c>
    </row>
    <row r="248" spans="1:6" x14ac:dyDescent="0.35">
      <c r="A248" s="195" t="s">
        <v>3562</v>
      </c>
      <c r="B248" s="64">
        <v>39341</v>
      </c>
      <c r="C248" s="195" t="s">
        <v>3716</v>
      </c>
      <c r="D248" s="195" t="s">
        <v>3585</v>
      </c>
      <c r="E248" s="195" t="s">
        <v>3580</v>
      </c>
      <c r="F248" s="195" t="s">
        <v>3586</v>
      </c>
    </row>
    <row r="249" spans="1:6" x14ac:dyDescent="0.35">
      <c r="A249" s="195" t="s">
        <v>3563</v>
      </c>
      <c r="B249" s="195">
        <v>0</v>
      </c>
      <c r="C249" s="195" t="s">
        <v>3717</v>
      </c>
      <c r="D249" s="195" t="s">
        <v>3585</v>
      </c>
      <c r="E249" s="195" t="s">
        <v>3580</v>
      </c>
      <c r="F249" s="195" t="s">
        <v>3586</v>
      </c>
    </row>
    <row r="250" spans="1:6" x14ac:dyDescent="0.35">
      <c r="A250" s="195" t="s">
        <v>3564</v>
      </c>
      <c r="B250" s="64">
        <v>39341</v>
      </c>
      <c r="C250" s="195" t="s">
        <v>3718</v>
      </c>
      <c r="D250" s="195" t="s">
        <v>3585</v>
      </c>
      <c r="E250" s="195" t="s">
        <v>3580</v>
      </c>
      <c r="F250" s="195" t="s">
        <v>3586</v>
      </c>
    </row>
    <row r="251" spans="1:6" x14ac:dyDescent="0.35">
      <c r="A251" s="195" t="s">
        <v>3565</v>
      </c>
      <c r="B251" s="64">
        <v>36987</v>
      </c>
      <c r="C251" s="195" t="s">
        <v>3719</v>
      </c>
      <c r="D251" s="195" t="s">
        <v>3585</v>
      </c>
      <c r="E251" s="195" t="s">
        <v>3580</v>
      </c>
      <c r="F251" s="195" t="s">
        <v>3586</v>
      </c>
    </row>
    <row r="252" spans="1:6" x14ac:dyDescent="0.35">
      <c r="A252" s="195" t="s">
        <v>3566</v>
      </c>
      <c r="B252" s="64">
        <v>2354</v>
      </c>
      <c r="C252" s="195" t="s">
        <v>3720</v>
      </c>
      <c r="D252" s="195" t="s">
        <v>3585</v>
      </c>
      <c r="E252" s="195" t="s">
        <v>3580</v>
      </c>
      <c r="F252" s="195" t="s">
        <v>3586</v>
      </c>
    </row>
    <row r="253" spans="1:6" x14ac:dyDescent="0.35">
      <c r="A253" s="195" t="s">
        <v>3567</v>
      </c>
      <c r="B253" s="64">
        <v>27832</v>
      </c>
      <c r="C253" s="195" t="s">
        <v>3721</v>
      </c>
      <c r="D253" s="195" t="s">
        <v>3585</v>
      </c>
      <c r="E253" s="195" t="s">
        <v>3580</v>
      </c>
      <c r="F253" s="195" t="s">
        <v>3586</v>
      </c>
    </row>
    <row r="254" spans="1:6" x14ac:dyDescent="0.35">
      <c r="A254" s="195" t="s">
        <v>3568</v>
      </c>
      <c r="B254" s="64">
        <v>89878</v>
      </c>
      <c r="C254" s="195" t="s">
        <v>3722</v>
      </c>
      <c r="D254" s="195" t="s">
        <v>3585</v>
      </c>
      <c r="E254" s="195" t="s">
        <v>3580</v>
      </c>
      <c r="F254" s="195" t="s">
        <v>3586</v>
      </c>
    </row>
    <row r="255" spans="1:6" x14ac:dyDescent="0.35">
      <c r="A255" s="195" t="s">
        <v>3569</v>
      </c>
      <c r="B255" s="64">
        <v>43857</v>
      </c>
      <c r="C255" s="195" t="s">
        <v>3723</v>
      </c>
      <c r="D255" s="195" t="s">
        <v>3585</v>
      </c>
      <c r="E255" s="195" t="s">
        <v>3580</v>
      </c>
      <c r="F255" s="195" t="s">
        <v>3586</v>
      </c>
    </row>
    <row r="256" spans="1:6" x14ac:dyDescent="0.35">
      <c r="A256" s="195" t="s">
        <v>3570</v>
      </c>
      <c r="B256" s="195">
        <v>0</v>
      </c>
      <c r="C256" s="195" t="s">
        <v>3724</v>
      </c>
      <c r="D256" s="195" t="s">
        <v>3585</v>
      </c>
      <c r="E256" s="195" t="s">
        <v>3580</v>
      </c>
      <c r="F256" s="195" t="s">
        <v>3586</v>
      </c>
    </row>
    <row r="257" spans="1:6" x14ac:dyDescent="0.35">
      <c r="A257" s="195" t="s">
        <v>3571</v>
      </c>
      <c r="B257" s="64">
        <v>43857</v>
      </c>
      <c r="C257" s="195" t="s">
        <v>3725</v>
      </c>
      <c r="D257" s="195" t="s">
        <v>3585</v>
      </c>
      <c r="E257" s="195" t="s">
        <v>3580</v>
      </c>
      <c r="F257" s="195" t="s">
        <v>3586</v>
      </c>
    </row>
    <row r="258" spans="1:6" x14ac:dyDescent="0.35">
      <c r="A258" s="195" t="s">
        <v>3572</v>
      </c>
      <c r="B258" s="64">
        <v>41566</v>
      </c>
      <c r="C258" s="195" t="s">
        <v>3726</v>
      </c>
      <c r="D258" s="195" t="s">
        <v>3585</v>
      </c>
      <c r="E258" s="195" t="s">
        <v>3580</v>
      </c>
      <c r="F258" s="195" t="s">
        <v>3586</v>
      </c>
    </row>
    <row r="259" spans="1:6" x14ac:dyDescent="0.35">
      <c r="A259" s="195" t="s">
        <v>3573</v>
      </c>
      <c r="B259" s="64">
        <v>2291</v>
      </c>
      <c r="C259" s="195" t="s">
        <v>3727</v>
      </c>
      <c r="D259" s="195" t="s">
        <v>3585</v>
      </c>
      <c r="E259" s="195" t="s">
        <v>3580</v>
      </c>
      <c r="F259" s="195" t="s">
        <v>3586</v>
      </c>
    </row>
    <row r="260" spans="1:6" x14ac:dyDescent="0.35">
      <c r="A260" s="195" t="s">
        <v>3574</v>
      </c>
      <c r="B260" s="64">
        <v>46021</v>
      </c>
      <c r="C260" s="195" t="s">
        <v>3728</v>
      </c>
      <c r="D260" s="195" t="s">
        <v>3585</v>
      </c>
      <c r="E260" s="195" t="s">
        <v>3580</v>
      </c>
      <c r="F260" s="195" t="s">
        <v>3586</v>
      </c>
    </row>
    <row r="261" spans="1:6" x14ac:dyDescent="0.35">
      <c r="A261" s="195" t="s">
        <v>3871</v>
      </c>
      <c r="B261" s="64">
        <v>2870236</v>
      </c>
      <c r="C261" s="195" t="s">
        <v>26</v>
      </c>
      <c r="D261" s="195" t="s">
        <v>3983</v>
      </c>
      <c r="E261" s="195" t="s">
        <v>3580</v>
      </c>
      <c r="F261" s="195" t="s">
        <v>3984</v>
      </c>
    </row>
    <row r="262" spans="1:6" x14ac:dyDescent="0.35">
      <c r="A262" s="195" t="s">
        <v>3872</v>
      </c>
      <c r="B262" s="64">
        <v>346371</v>
      </c>
      <c r="C262" s="195" t="s">
        <v>3985</v>
      </c>
      <c r="D262" s="195" t="s">
        <v>3983</v>
      </c>
      <c r="E262" s="195" t="s">
        <v>3580</v>
      </c>
      <c r="F262" s="195" t="s">
        <v>3984</v>
      </c>
    </row>
    <row r="263" spans="1:6" x14ac:dyDescent="0.35">
      <c r="A263" s="195" t="s">
        <v>3873</v>
      </c>
      <c r="B263" s="64">
        <v>217016</v>
      </c>
      <c r="C263" s="195" t="s">
        <v>3986</v>
      </c>
      <c r="D263" s="195" t="s">
        <v>3983</v>
      </c>
      <c r="E263" s="195" t="s">
        <v>3580</v>
      </c>
      <c r="F263" s="195" t="s">
        <v>3984</v>
      </c>
    </row>
    <row r="264" spans="1:6" x14ac:dyDescent="0.35">
      <c r="A264" s="195" t="s">
        <v>3874</v>
      </c>
      <c r="B264" s="64">
        <v>26</v>
      </c>
      <c r="C264" s="195" t="s">
        <v>3987</v>
      </c>
      <c r="D264" s="195" t="s">
        <v>3983</v>
      </c>
      <c r="E264" s="195" t="s">
        <v>3580</v>
      </c>
      <c r="F264" s="195" t="s">
        <v>3984</v>
      </c>
    </row>
    <row r="265" spans="1:6" x14ac:dyDescent="0.35">
      <c r="A265" s="195" t="s">
        <v>3875</v>
      </c>
      <c r="B265" s="64">
        <v>216990</v>
      </c>
      <c r="C265" s="195" t="s">
        <v>3988</v>
      </c>
      <c r="D265" s="195" t="s">
        <v>3983</v>
      </c>
      <c r="E265" s="195" t="s">
        <v>3580</v>
      </c>
      <c r="F265" s="195" t="s">
        <v>3984</v>
      </c>
    </row>
    <row r="266" spans="1:6" x14ac:dyDescent="0.35">
      <c r="A266" s="195" t="s">
        <v>3876</v>
      </c>
      <c r="B266" s="64">
        <v>191997</v>
      </c>
      <c r="C266" s="195" t="s">
        <v>3989</v>
      </c>
      <c r="D266" s="195" t="s">
        <v>3983</v>
      </c>
      <c r="E266" s="195" t="s">
        <v>3580</v>
      </c>
      <c r="F266" s="195" t="s">
        <v>3984</v>
      </c>
    </row>
    <row r="267" spans="1:6" x14ac:dyDescent="0.35">
      <c r="A267" s="195" t="s">
        <v>3877</v>
      </c>
      <c r="B267" s="64">
        <v>24993</v>
      </c>
      <c r="C267" s="195" t="s">
        <v>3990</v>
      </c>
      <c r="D267" s="195" t="s">
        <v>3983</v>
      </c>
      <c r="E267" s="195" t="s">
        <v>3580</v>
      </c>
      <c r="F267" s="195" t="s">
        <v>3984</v>
      </c>
    </row>
    <row r="268" spans="1:6" x14ac:dyDescent="0.35">
      <c r="A268" s="195" t="s">
        <v>3878</v>
      </c>
      <c r="B268" s="64">
        <v>129355</v>
      </c>
      <c r="C268" s="195" t="s">
        <v>3991</v>
      </c>
      <c r="D268" s="195" t="s">
        <v>3983</v>
      </c>
      <c r="E268" s="195" t="s">
        <v>3580</v>
      </c>
      <c r="F268" s="195" t="s">
        <v>3984</v>
      </c>
    </row>
    <row r="269" spans="1:6" x14ac:dyDescent="0.35">
      <c r="A269" s="195" t="s">
        <v>3879</v>
      </c>
      <c r="B269" s="64">
        <v>634969</v>
      </c>
      <c r="C269" s="195" t="s">
        <v>3992</v>
      </c>
      <c r="D269" s="195" t="s">
        <v>3983</v>
      </c>
      <c r="E269" s="195" t="s">
        <v>3580</v>
      </c>
      <c r="F269" s="195" t="s">
        <v>3984</v>
      </c>
    </row>
    <row r="270" spans="1:6" x14ac:dyDescent="0.35">
      <c r="A270" s="195" t="s">
        <v>3880</v>
      </c>
      <c r="B270" s="64">
        <v>464220</v>
      </c>
      <c r="C270" s="195" t="s">
        <v>3993</v>
      </c>
      <c r="D270" s="195" t="s">
        <v>3983</v>
      </c>
      <c r="E270" s="195" t="s">
        <v>3580</v>
      </c>
      <c r="F270" s="195" t="s">
        <v>3984</v>
      </c>
    </row>
    <row r="271" spans="1:6" x14ac:dyDescent="0.35">
      <c r="A271" s="195" t="s">
        <v>3881</v>
      </c>
      <c r="B271" s="195">
        <v>178</v>
      </c>
      <c r="C271" s="195" t="s">
        <v>3994</v>
      </c>
      <c r="D271" s="195" t="s">
        <v>3983</v>
      </c>
      <c r="E271" s="195" t="s">
        <v>3580</v>
      </c>
      <c r="F271" s="195" t="s">
        <v>3984</v>
      </c>
    </row>
    <row r="272" spans="1:6" x14ac:dyDescent="0.35">
      <c r="A272" s="195" t="s">
        <v>3882</v>
      </c>
      <c r="B272" s="64">
        <v>464042</v>
      </c>
      <c r="C272" s="195" t="s">
        <v>3995</v>
      </c>
      <c r="D272" s="195" t="s">
        <v>3983</v>
      </c>
      <c r="E272" s="195" t="s">
        <v>3580</v>
      </c>
      <c r="F272" s="195" t="s">
        <v>3984</v>
      </c>
    </row>
    <row r="273" spans="1:6" x14ac:dyDescent="0.35">
      <c r="A273" s="195" t="s">
        <v>3883</v>
      </c>
      <c r="B273" s="64">
        <v>413284</v>
      </c>
      <c r="C273" s="195" t="s">
        <v>3996</v>
      </c>
      <c r="D273" s="195" t="s">
        <v>3983</v>
      </c>
      <c r="E273" s="195" t="s">
        <v>3580</v>
      </c>
      <c r="F273" s="195" t="s">
        <v>3984</v>
      </c>
    </row>
    <row r="274" spans="1:6" x14ac:dyDescent="0.35">
      <c r="A274" s="195" t="s">
        <v>3884</v>
      </c>
      <c r="B274" s="64">
        <v>50758</v>
      </c>
      <c r="C274" s="195" t="s">
        <v>3997</v>
      </c>
      <c r="D274" s="195" t="s">
        <v>3983</v>
      </c>
      <c r="E274" s="195" t="s">
        <v>3580</v>
      </c>
      <c r="F274" s="195" t="s">
        <v>3984</v>
      </c>
    </row>
    <row r="275" spans="1:6" x14ac:dyDescent="0.35">
      <c r="A275" s="195" t="s">
        <v>3885</v>
      </c>
      <c r="B275" s="64">
        <v>170749</v>
      </c>
      <c r="C275" s="195" t="s">
        <v>3998</v>
      </c>
      <c r="D275" s="195" t="s">
        <v>3983</v>
      </c>
      <c r="E275" s="195" t="s">
        <v>3580</v>
      </c>
      <c r="F275" s="195" t="s">
        <v>3984</v>
      </c>
    </row>
    <row r="276" spans="1:6" x14ac:dyDescent="0.35">
      <c r="A276" s="195" t="s">
        <v>3886</v>
      </c>
      <c r="B276" s="64">
        <v>749692</v>
      </c>
      <c r="C276" s="195" t="s">
        <v>3999</v>
      </c>
      <c r="D276" s="195" t="s">
        <v>3983</v>
      </c>
      <c r="E276" s="195" t="s">
        <v>3580</v>
      </c>
      <c r="F276" s="195" t="s">
        <v>3984</v>
      </c>
    </row>
    <row r="277" spans="1:6" x14ac:dyDescent="0.35">
      <c r="A277" s="195" t="s">
        <v>3887</v>
      </c>
      <c r="B277" s="64">
        <v>606720</v>
      </c>
      <c r="C277" s="195" t="s">
        <v>4000</v>
      </c>
      <c r="D277" s="195" t="s">
        <v>3983</v>
      </c>
      <c r="E277" s="195" t="s">
        <v>3580</v>
      </c>
      <c r="F277" s="195" t="s">
        <v>3984</v>
      </c>
    </row>
    <row r="278" spans="1:6" x14ac:dyDescent="0.35">
      <c r="A278" s="195" t="s">
        <v>3888</v>
      </c>
      <c r="B278" s="195">
        <v>620</v>
      </c>
      <c r="C278" s="195" t="s">
        <v>4001</v>
      </c>
      <c r="D278" s="195" t="s">
        <v>3983</v>
      </c>
      <c r="E278" s="195" t="s">
        <v>3580</v>
      </c>
      <c r="F278" s="195" t="s">
        <v>3984</v>
      </c>
    </row>
    <row r="279" spans="1:6" x14ac:dyDescent="0.35">
      <c r="A279" s="195" t="s">
        <v>3889</v>
      </c>
      <c r="B279" s="64">
        <v>606100</v>
      </c>
      <c r="C279" s="195" t="s">
        <v>4002</v>
      </c>
      <c r="D279" s="195" t="s">
        <v>3983</v>
      </c>
      <c r="E279" s="195" t="s">
        <v>3580</v>
      </c>
      <c r="F279" s="195" t="s">
        <v>3984</v>
      </c>
    </row>
    <row r="280" spans="1:6" x14ac:dyDescent="0.35">
      <c r="A280" s="195" t="s">
        <v>3890</v>
      </c>
      <c r="B280" s="64">
        <v>554797</v>
      </c>
      <c r="C280" s="195" t="s">
        <v>4003</v>
      </c>
      <c r="D280" s="195" t="s">
        <v>3983</v>
      </c>
      <c r="E280" s="195" t="s">
        <v>3580</v>
      </c>
      <c r="F280" s="195" t="s">
        <v>3984</v>
      </c>
    </row>
    <row r="281" spans="1:6" x14ac:dyDescent="0.35">
      <c r="A281" s="195" t="s">
        <v>3891</v>
      </c>
      <c r="B281" s="64">
        <v>51303</v>
      </c>
      <c r="C281" s="195" t="s">
        <v>4004</v>
      </c>
      <c r="D281" s="195" t="s">
        <v>3983</v>
      </c>
      <c r="E281" s="195" t="s">
        <v>3580</v>
      </c>
      <c r="F281" s="195" t="s">
        <v>3984</v>
      </c>
    </row>
    <row r="282" spans="1:6" x14ac:dyDescent="0.35">
      <c r="A282" s="195" t="s">
        <v>3892</v>
      </c>
      <c r="B282" s="64">
        <v>142972</v>
      </c>
      <c r="C282" s="195" t="s">
        <v>4005</v>
      </c>
      <c r="D282" s="195" t="s">
        <v>3983</v>
      </c>
      <c r="E282" s="195" t="s">
        <v>3580</v>
      </c>
      <c r="F282" s="195" t="s">
        <v>3984</v>
      </c>
    </row>
    <row r="283" spans="1:6" x14ac:dyDescent="0.35">
      <c r="A283" s="195" t="s">
        <v>3893</v>
      </c>
      <c r="B283" s="64">
        <v>1139204</v>
      </c>
      <c r="C283" s="195" t="s">
        <v>4006</v>
      </c>
      <c r="D283" s="195" t="s">
        <v>3983</v>
      </c>
      <c r="E283" s="195" t="s">
        <v>3580</v>
      </c>
      <c r="F283" s="195" t="s">
        <v>3984</v>
      </c>
    </row>
    <row r="284" spans="1:6" x14ac:dyDescent="0.35">
      <c r="A284" s="195" t="s">
        <v>3894</v>
      </c>
      <c r="B284" s="64">
        <v>1001131</v>
      </c>
      <c r="C284" s="195" t="s">
        <v>4007</v>
      </c>
      <c r="D284" s="195" t="s">
        <v>3983</v>
      </c>
      <c r="E284" s="195" t="s">
        <v>3580</v>
      </c>
      <c r="F284" s="195" t="s">
        <v>3984</v>
      </c>
    </row>
    <row r="285" spans="1:6" x14ac:dyDescent="0.35">
      <c r="A285" s="195" t="s">
        <v>3895</v>
      </c>
      <c r="B285" s="195">
        <v>305</v>
      </c>
      <c r="C285" s="195" t="s">
        <v>4008</v>
      </c>
      <c r="D285" s="195" t="s">
        <v>3983</v>
      </c>
      <c r="E285" s="195" t="s">
        <v>3580</v>
      </c>
      <c r="F285" s="195" t="s">
        <v>3984</v>
      </c>
    </row>
    <row r="286" spans="1:6" x14ac:dyDescent="0.35">
      <c r="A286" s="195" t="s">
        <v>3896</v>
      </c>
      <c r="B286" s="64">
        <v>1000826</v>
      </c>
      <c r="C286" s="195" t="s">
        <v>4009</v>
      </c>
      <c r="D286" s="195" t="s">
        <v>3983</v>
      </c>
      <c r="E286" s="195" t="s">
        <v>3580</v>
      </c>
      <c r="F286" s="195" t="s">
        <v>3984</v>
      </c>
    </row>
    <row r="287" spans="1:6" x14ac:dyDescent="0.35">
      <c r="A287" s="195" t="s">
        <v>3897</v>
      </c>
      <c r="B287" s="64">
        <v>963849</v>
      </c>
      <c r="C287" s="195" t="s">
        <v>4010</v>
      </c>
      <c r="D287" s="195" t="s">
        <v>3983</v>
      </c>
      <c r="E287" s="195" t="s">
        <v>3580</v>
      </c>
      <c r="F287" s="195" t="s">
        <v>3984</v>
      </c>
    </row>
    <row r="288" spans="1:6" x14ac:dyDescent="0.35">
      <c r="A288" s="195" t="s">
        <v>3898</v>
      </c>
      <c r="B288" s="64">
        <v>36977</v>
      </c>
      <c r="C288" s="195" t="s">
        <v>4011</v>
      </c>
      <c r="D288" s="195" t="s">
        <v>3983</v>
      </c>
      <c r="E288" s="195" t="s">
        <v>3580</v>
      </c>
      <c r="F288" s="195" t="s">
        <v>3984</v>
      </c>
    </row>
    <row r="289" spans="1:6" x14ac:dyDescent="0.35">
      <c r="A289" s="195" t="s">
        <v>3899</v>
      </c>
      <c r="B289" s="64">
        <v>138073</v>
      </c>
      <c r="C289" s="195" t="s">
        <v>4012</v>
      </c>
      <c r="D289" s="195" t="s">
        <v>3983</v>
      </c>
      <c r="E289" s="195" t="s">
        <v>3580</v>
      </c>
      <c r="F289" s="195" t="s">
        <v>3984</v>
      </c>
    </row>
    <row r="290" spans="1:6" x14ac:dyDescent="0.35">
      <c r="A290" s="195" t="s">
        <v>3430</v>
      </c>
      <c r="B290" s="64">
        <v>2762042</v>
      </c>
      <c r="C290" s="195" t="s">
        <v>3729</v>
      </c>
      <c r="D290" s="195" t="s">
        <v>3730</v>
      </c>
      <c r="E290" s="195" t="s">
        <v>3580</v>
      </c>
      <c r="F290" s="195" t="s">
        <v>3731</v>
      </c>
    </row>
    <row r="291" spans="1:6" x14ac:dyDescent="0.35">
      <c r="A291" s="195" t="s">
        <v>3431</v>
      </c>
      <c r="B291" s="64">
        <v>2521437</v>
      </c>
      <c r="C291" s="195" t="s">
        <v>3732</v>
      </c>
      <c r="D291" s="195" t="s">
        <v>3730</v>
      </c>
      <c r="E291" s="195" t="s">
        <v>3580</v>
      </c>
      <c r="F291" s="195" t="s">
        <v>3731</v>
      </c>
    </row>
    <row r="292" spans="1:6" x14ac:dyDescent="0.35">
      <c r="A292" s="195" t="s">
        <v>3337</v>
      </c>
      <c r="B292" s="64">
        <v>1956561</v>
      </c>
      <c r="C292" s="195" t="s">
        <v>26</v>
      </c>
      <c r="D292" s="195" t="s">
        <v>3733</v>
      </c>
      <c r="E292" s="195" t="s">
        <v>3580</v>
      </c>
      <c r="F292" s="195" t="s">
        <v>3734</v>
      </c>
    </row>
    <row r="293" spans="1:6" x14ac:dyDescent="0.35">
      <c r="A293" s="195" t="s">
        <v>3339</v>
      </c>
      <c r="B293" s="64">
        <v>2183987</v>
      </c>
      <c r="C293" s="195" t="s">
        <v>26</v>
      </c>
      <c r="D293" s="195" t="s">
        <v>3735</v>
      </c>
      <c r="E293" s="195" t="s">
        <v>3580</v>
      </c>
      <c r="F293" s="195" t="s">
        <v>3736</v>
      </c>
    </row>
    <row r="294" spans="1:6" x14ac:dyDescent="0.35">
      <c r="A294" s="195" t="s">
        <v>3340</v>
      </c>
      <c r="B294" s="64">
        <v>880444</v>
      </c>
      <c r="C294" s="195" t="s">
        <v>3737</v>
      </c>
      <c r="D294" s="195" t="s">
        <v>3735</v>
      </c>
      <c r="E294" s="195" t="s">
        <v>3580</v>
      </c>
      <c r="F294" s="195" t="s">
        <v>3736</v>
      </c>
    </row>
    <row r="295" spans="1:6" x14ac:dyDescent="0.35">
      <c r="A295" s="195" t="s">
        <v>3341</v>
      </c>
      <c r="B295" s="64">
        <v>114466</v>
      </c>
      <c r="C295" s="195" t="s">
        <v>3738</v>
      </c>
      <c r="D295" s="195" t="s">
        <v>3735</v>
      </c>
      <c r="E295" s="195" t="s">
        <v>3580</v>
      </c>
      <c r="F295" s="195" t="s">
        <v>3736</v>
      </c>
    </row>
    <row r="296" spans="1:6" x14ac:dyDescent="0.35">
      <c r="A296" s="195" t="s">
        <v>3342</v>
      </c>
      <c r="B296" s="64">
        <v>211997</v>
      </c>
      <c r="C296" s="195" t="s">
        <v>3739</v>
      </c>
      <c r="D296" s="195" t="s">
        <v>3735</v>
      </c>
      <c r="E296" s="195" t="s">
        <v>3580</v>
      </c>
      <c r="F296" s="195" t="s">
        <v>3736</v>
      </c>
    </row>
    <row r="297" spans="1:6" x14ac:dyDescent="0.35">
      <c r="A297" s="195" t="s">
        <v>3343</v>
      </c>
      <c r="B297" s="64">
        <v>236268</v>
      </c>
      <c r="C297" s="195" t="s">
        <v>3740</v>
      </c>
      <c r="D297" s="195" t="s">
        <v>3735</v>
      </c>
      <c r="E297" s="195" t="s">
        <v>3580</v>
      </c>
      <c r="F297" s="195" t="s">
        <v>3736</v>
      </c>
    </row>
    <row r="298" spans="1:6" x14ac:dyDescent="0.35">
      <c r="A298" s="195" t="s">
        <v>3344</v>
      </c>
      <c r="B298" s="64">
        <v>220208</v>
      </c>
      <c r="C298" s="195" t="s">
        <v>3741</v>
      </c>
      <c r="D298" s="195" t="s">
        <v>3735</v>
      </c>
      <c r="E298" s="195" t="s">
        <v>3580</v>
      </c>
      <c r="F298" s="195" t="s">
        <v>3736</v>
      </c>
    </row>
    <row r="299" spans="1:6" x14ac:dyDescent="0.35">
      <c r="A299" s="195" t="s">
        <v>3345</v>
      </c>
      <c r="B299" s="64">
        <v>105615</v>
      </c>
      <c r="C299" s="195" t="s">
        <v>3742</v>
      </c>
      <c r="D299" s="195" t="s">
        <v>3735</v>
      </c>
      <c r="E299" s="195" t="s">
        <v>3580</v>
      </c>
      <c r="F299" s="195" t="s">
        <v>3736</v>
      </c>
    </row>
    <row r="300" spans="1:6" x14ac:dyDescent="0.35">
      <c r="A300" s="195" t="s">
        <v>3346</v>
      </c>
      <c r="B300" s="64">
        <v>126692</v>
      </c>
      <c r="C300" s="195" t="s">
        <v>3743</v>
      </c>
      <c r="D300" s="195" t="s">
        <v>3735</v>
      </c>
      <c r="E300" s="195" t="s">
        <v>3580</v>
      </c>
      <c r="F300" s="195" t="s">
        <v>3736</v>
      </c>
    </row>
    <row r="301" spans="1:6" x14ac:dyDescent="0.35">
      <c r="A301" s="195" t="s">
        <v>3347</v>
      </c>
      <c r="B301" s="64">
        <v>272518</v>
      </c>
      <c r="C301" s="195" t="s">
        <v>3744</v>
      </c>
      <c r="D301" s="195" t="s">
        <v>3735</v>
      </c>
      <c r="E301" s="195" t="s">
        <v>3580</v>
      </c>
      <c r="F301" s="195" t="s">
        <v>3736</v>
      </c>
    </row>
    <row r="302" spans="1:6" x14ac:dyDescent="0.35">
      <c r="A302" s="195" t="s">
        <v>3348</v>
      </c>
      <c r="B302" s="64">
        <v>15292</v>
      </c>
      <c r="C302" s="195" t="s">
        <v>3745</v>
      </c>
      <c r="D302" s="195" t="s">
        <v>3735</v>
      </c>
      <c r="E302" s="195" t="s">
        <v>3580</v>
      </c>
      <c r="F302" s="195" t="s">
        <v>3736</v>
      </c>
    </row>
    <row r="303" spans="1:6" x14ac:dyDescent="0.35">
      <c r="A303" s="195" t="s">
        <v>3349</v>
      </c>
      <c r="B303" s="195">
        <v>487</v>
      </c>
      <c r="C303" s="195" t="s">
        <v>3746</v>
      </c>
      <c r="D303" s="195" t="s">
        <v>3735</v>
      </c>
      <c r="E303" s="195" t="s">
        <v>3580</v>
      </c>
      <c r="F303" s="195" t="s">
        <v>3736</v>
      </c>
    </row>
    <row r="304" spans="1:6" x14ac:dyDescent="0.35">
      <c r="A304" s="195" t="s">
        <v>3407</v>
      </c>
      <c r="B304" s="64">
        <v>1956561</v>
      </c>
      <c r="C304" s="195" t="s">
        <v>26</v>
      </c>
      <c r="D304" s="195" t="s">
        <v>3747</v>
      </c>
      <c r="E304" s="195" t="s">
        <v>3580</v>
      </c>
      <c r="F304" s="195" t="s">
        <v>3748</v>
      </c>
    </row>
    <row r="305" spans="1:6" x14ac:dyDescent="0.35">
      <c r="A305" s="195" t="s">
        <v>3408</v>
      </c>
      <c r="B305" s="64">
        <v>1112383</v>
      </c>
      <c r="C305" s="195" t="s">
        <v>3749</v>
      </c>
      <c r="D305" s="195" t="s">
        <v>3747</v>
      </c>
      <c r="E305" s="195" t="s">
        <v>3580</v>
      </c>
      <c r="F305" s="195" t="s">
        <v>3748</v>
      </c>
    </row>
    <row r="306" spans="1:6" x14ac:dyDescent="0.35">
      <c r="A306" s="195" t="s">
        <v>3409</v>
      </c>
      <c r="B306" s="64">
        <v>2626</v>
      </c>
      <c r="C306" s="195" t="s">
        <v>3750</v>
      </c>
      <c r="D306" s="195" t="s">
        <v>3747</v>
      </c>
      <c r="E306" s="195" t="s">
        <v>3580</v>
      </c>
      <c r="F306" s="195" t="s">
        <v>3748</v>
      </c>
    </row>
    <row r="307" spans="1:6" x14ac:dyDescent="0.35">
      <c r="A307" s="195" t="s">
        <v>3410</v>
      </c>
      <c r="B307" s="64">
        <v>5869</v>
      </c>
      <c r="C307" s="195" t="s">
        <v>3751</v>
      </c>
      <c r="D307" s="195" t="s">
        <v>3747</v>
      </c>
      <c r="E307" s="195" t="s">
        <v>3580</v>
      </c>
      <c r="F307" s="195" t="s">
        <v>3748</v>
      </c>
    </row>
    <row r="308" spans="1:6" x14ac:dyDescent="0.35">
      <c r="A308" s="195" t="s">
        <v>3411</v>
      </c>
      <c r="B308" s="64">
        <v>92840</v>
      </c>
      <c r="C308" s="195" t="s">
        <v>3752</v>
      </c>
      <c r="D308" s="195" t="s">
        <v>3747</v>
      </c>
      <c r="E308" s="195" t="s">
        <v>3580</v>
      </c>
      <c r="F308" s="195" t="s">
        <v>3748</v>
      </c>
    </row>
    <row r="309" spans="1:6" x14ac:dyDescent="0.35">
      <c r="A309" s="195" t="s">
        <v>3412</v>
      </c>
      <c r="B309" s="64">
        <v>78460</v>
      </c>
      <c r="C309" s="195" t="s">
        <v>3753</v>
      </c>
      <c r="D309" s="195" t="s">
        <v>3747</v>
      </c>
      <c r="E309" s="195" t="s">
        <v>3580</v>
      </c>
      <c r="F309" s="195" t="s">
        <v>3748</v>
      </c>
    </row>
    <row r="310" spans="1:6" x14ac:dyDescent="0.35">
      <c r="A310" s="195" t="s">
        <v>3413</v>
      </c>
      <c r="B310" s="64">
        <v>77510</v>
      </c>
      <c r="C310" s="195" t="s">
        <v>3754</v>
      </c>
      <c r="D310" s="195" t="s">
        <v>3747</v>
      </c>
      <c r="E310" s="195" t="s">
        <v>3580</v>
      </c>
      <c r="F310" s="195" t="s">
        <v>3748</v>
      </c>
    </row>
    <row r="311" spans="1:6" x14ac:dyDescent="0.35">
      <c r="A311" s="195" t="s">
        <v>3414</v>
      </c>
      <c r="B311" s="64">
        <v>131132</v>
      </c>
      <c r="C311" s="195" t="s">
        <v>3755</v>
      </c>
      <c r="D311" s="195" t="s">
        <v>3747</v>
      </c>
      <c r="E311" s="195" t="s">
        <v>3580</v>
      </c>
      <c r="F311" s="195" t="s">
        <v>3748</v>
      </c>
    </row>
    <row r="312" spans="1:6" x14ac:dyDescent="0.35">
      <c r="A312" s="195" t="s">
        <v>3415</v>
      </c>
      <c r="B312" s="64">
        <v>154746</v>
      </c>
      <c r="C312" s="195" t="s">
        <v>3756</v>
      </c>
      <c r="D312" s="195" t="s">
        <v>3747</v>
      </c>
      <c r="E312" s="195" t="s">
        <v>3580</v>
      </c>
      <c r="F312" s="195" t="s">
        <v>3748</v>
      </c>
    </row>
    <row r="313" spans="1:6" x14ac:dyDescent="0.35">
      <c r="A313" s="195" t="s">
        <v>3416</v>
      </c>
      <c r="B313" s="64">
        <v>214108</v>
      </c>
      <c r="C313" s="195" t="s">
        <v>3757</v>
      </c>
      <c r="D313" s="195" t="s">
        <v>3747</v>
      </c>
      <c r="E313" s="195" t="s">
        <v>3580</v>
      </c>
      <c r="F313" s="195" t="s">
        <v>3748</v>
      </c>
    </row>
    <row r="314" spans="1:6" x14ac:dyDescent="0.35">
      <c r="A314" s="195" t="s">
        <v>3417</v>
      </c>
      <c r="B314" s="64">
        <v>82235</v>
      </c>
      <c r="C314" s="195" t="s">
        <v>3758</v>
      </c>
      <c r="D314" s="195" t="s">
        <v>3747</v>
      </c>
      <c r="E314" s="195" t="s">
        <v>3580</v>
      </c>
      <c r="F314" s="195" t="s">
        <v>3748</v>
      </c>
    </row>
    <row r="315" spans="1:6" x14ac:dyDescent="0.35">
      <c r="A315" s="195" t="s">
        <v>3418</v>
      </c>
      <c r="B315" s="64">
        <v>272857</v>
      </c>
      <c r="C315" s="195" t="s">
        <v>3759</v>
      </c>
      <c r="D315" s="195" t="s">
        <v>3747</v>
      </c>
      <c r="E315" s="195" t="s">
        <v>3580</v>
      </c>
      <c r="F315" s="195" t="s">
        <v>3748</v>
      </c>
    </row>
    <row r="316" spans="1:6" x14ac:dyDescent="0.35">
      <c r="A316" s="195" t="s">
        <v>3419</v>
      </c>
      <c r="B316" s="64">
        <v>844178</v>
      </c>
      <c r="C316" s="195" t="s">
        <v>3760</v>
      </c>
      <c r="D316" s="195" t="s">
        <v>3747</v>
      </c>
      <c r="E316" s="195" t="s">
        <v>3580</v>
      </c>
      <c r="F316" s="195" t="s">
        <v>3748</v>
      </c>
    </row>
    <row r="317" spans="1:6" x14ac:dyDescent="0.35">
      <c r="A317" s="195" t="s">
        <v>3420</v>
      </c>
      <c r="B317" s="64">
        <v>4051</v>
      </c>
      <c r="C317" s="195" t="s">
        <v>3761</v>
      </c>
      <c r="D317" s="195" t="s">
        <v>3747</v>
      </c>
      <c r="E317" s="195" t="s">
        <v>3580</v>
      </c>
      <c r="F317" s="195" t="s">
        <v>3748</v>
      </c>
    </row>
    <row r="318" spans="1:6" x14ac:dyDescent="0.35">
      <c r="A318" s="195" t="s">
        <v>3421</v>
      </c>
      <c r="B318" s="64">
        <v>10262</v>
      </c>
      <c r="C318" s="195" t="s">
        <v>3762</v>
      </c>
      <c r="D318" s="195" t="s">
        <v>3747</v>
      </c>
      <c r="E318" s="195" t="s">
        <v>3580</v>
      </c>
      <c r="F318" s="195" t="s">
        <v>3748</v>
      </c>
    </row>
    <row r="319" spans="1:6" x14ac:dyDescent="0.35">
      <c r="A319" s="195" t="s">
        <v>3422</v>
      </c>
      <c r="B319" s="64">
        <v>57731</v>
      </c>
      <c r="C319" s="195" t="s">
        <v>3763</v>
      </c>
      <c r="D319" s="195" t="s">
        <v>3747</v>
      </c>
      <c r="E319" s="195" t="s">
        <v>3580</v>
      </c>
      <c r="F319" s="195" t="s">
        <v>3748</v>
      </c>
    </row>
    <row r="320" spans="1:6" x14ac:dyDescent="0.35">
      <c r="A320" s="195" t="s">
        <v>3423</v>
      </c>
      <c r="B320" s="64">
        <v>51594</v>
      </c>
      <c r="C320" s="195" t="s">
        <v>3764</v>
      </c>
      <c r="D320" s="195" t="s">
        <v>3747</v>
      </c>
      <c r="E320" s="195" t="s">
        <v>3580</v>
      </c>
      <c r="F320" s="195" t="s">
        <v>3748</v>
      </c>
    </row>
    <row r="321" spans="1:6" x14ac:dyDescent="0.35">
      <c r="A321" s="195" t="s">
        <v>3424</v>
      </c>
      <c r="B321" s="64">
        <v>62470</v>
      </c>
      <c r="C321" s="195" t="s">
        <v>3765</v>
      </c>
      <c r="D321" s="195" t="s">
        <v>3747</v>
      </c>
      <c r="E321" s="195" t="s">
        <v>3580</v>
      </c>
      <c r="F321" s="195" t="s">
        <v>3748</v>
      </c>
    </row>
    <row r="322" spans="1:6" x14ac:dyDescent="0.35">
      <c r="A322" s="195" t="s">
        <v>3425</v>
      </c>
      <c r="B322" s="64">
        <v>112391</v>
      </c>
      <c r="C322" s="195" t="s">
        <v>3766</v>
      </c>
      <c r="D322" s="195" t="s">
        <v>3747</v>
      </c>
      <c r="E322" s="195" t="s">
        <v>3580</v>
      </c>
      <c r="F322" s="195" t="s">
        <v>3748</v>
      </c>
    </row>
    <row r="323" spans="1:6" x14ac:dyDescent="0.35">
      <c r="A323" s="195" t="s">
        <v>3426</v>
      </c>
      <c r="B323" s="64">
        <v>101707</v>
      </c>
      <c r="C323" s="195" t="s">
        <v>3767</v>
      </c>
      <c r="D323" s="195" t="s">
        <v>3747</v>
      </c>
      <c r="E323" s="195" t="s">
        <v>3580</v>
      </c>
      <c r="F323" s="195" t="s">
        <v>3748</v>
      </c>
    </row>
    <row r="324" spans="1:6" x14ac:dyDescent="0.35">
      <c r="A324" s="195" t="s">
        <v>3427</v>
      </c>
      <c r="B324" s="64">
        <v>94538</v>
      </c>
      <c r="C324" s="195" t="s">
        <v>3768</v>
      </c>
      <c r="D324" s="195" t="s">
        <v>3747</v>
      </c>
      <c r="E324" s="195" t="s">
        <v>3580</v>
      </c>
      <c r="F324" s="195" t="s">
        <v>3748</v>
      </c>
    </row>
    <row r="325" spans="1:6" x14ac:dyDescent="0.35">
      <c r="A325" s="195" t="s">
        <v>3428</v>
      </c>
      <c r="B325" s="64">
        <v>65496</v>
      </c>
      <c r="C325" s="195" t="s">
        <v>3769</v>
      </c>
      <c r="D325" s="195" t="s">
        <v>3747</v>
      </c>
      <c r="E325" s="195" t="s">
        <v>3580</v>
      </c>
      <c r="F325" s="195" t="s">
        <v>3748</v>
      </c>
    </row>
    <row r="326" spans="1:6" x14ac:dyDescent="0.35">
      <c r="A326" s="195" t="s">
        <v>3429</v>
      </c>
      <c r="B326" s="64">
        <v>283938</v>
      </c>
      <c r="C326" s="195" t="s">
        <v>3770</v>
      </c>
      <c r="D326" s="195" t="s">
        <v>3747</v>
      </c>
      <c r="E326" s="195" t="s">
        <v>3580</v>
      </c>
      <c r="F326" s="195" t="s">
        <v>3748</v>
      </c>
    </row>
    <row r="327" spans="1:6" x14ac:dyDescent="0.35">
      <c r="A327" s="195" t="s">
        <v>3350</v>
      </c>
      <c r="B327" s="64">
        <v>1956561</v>
      </c>
      <c r="C327" s="195" t="s">
        <v>26</v>
      </c>
      <c r="D327" s="195" t="s">
        <v>3771</v>
      </c>
      <c r="E327" s="195" t="s">
        <v>3580</v>
      </c>
      <c r="F327" s="195" t="s">
        <v>3772</v>
      </c>
    </row>
    <row r="328" spans="1:6" x14ac:dyDescent="0.35">
      <c r="A328" s="195" t="s">
        <v>3351</v>
      </c>
      <c r="B328" s="64">
        <v>1112383</v>
      </c>
      <c r="C328" s="195" t="s">
        <v>3749</v>
      </c>
      <c r="D328" s="195" t="s">
        <v>3771</v>
      </c>
      <c r="E328" s="195" t="s">
        <v>3580</v>
      </c>
      <c r="F328" s="195" t="s">
        <v>3772</v>
      </c>
    </row>
    <row r="329" spans="1:6" x14ac:dyDescent="0.35">
      <c r="A329" s="195" t="s">
        <v>3352</v>
      </c>
      <c r="B329" s="64">
        <v>6994</v>
      </c>
      <c r="C329" s="195" t="s">
        <v>3773</v>
      </c>
      <c r="D329" s="195" t="s">
        <v>3771</v>
      </c>
      <c r="E329" s="195" t="s">
        <v>3580</v>
      </c>
      <c r="F329" s="195" t="s">
        <v>3772</v>
      </c>
    </row>
    <row r="330" spans="1:6" x14ac:dyDescent="0.35">
      <c r="A330" s="195" t="s">
        <v>3353</v>
      </c>
      <c r="B330" s="64">
        <v>53585</v>
      </c>
      <c r="C330" s="195" t="s">
        <v>3774</v>
      </c>
      <c r="D330" s="195" t="s">
        <v>3771</v>
      </c>
      <c r="E330" s="195" t="s">
        <v>3580</v>
      </c>
      <c r="F330" s="195" t="s">
        <v>3772</v>
      </c>
    </row>
    <row r="331" spans="1:6" x14ac:dyDescent="0.35">
      <c r="A331" s="195" t="s">
        <v>3354</v>
      </c>
      <c r="B331" s="64">
        <v>288723</v>
      </c>
      <c r="C331" s="195" t="s">
        <v>3775</v>
      </c>
      <c r="D331" s="195" t="s">
        <v>3771</v>
      </c>
      <c r="E331" s="195" t="s">
        <v>3580</v>
      </c>
      <c r="F331" s="195" t="s">
        <v>3772</v>
      </c>
    </row>
    <row r="332" spans="1:6" x14ac:dyDescent="0.35">
      <c r="A332" s="195" t="s">
        <v>3355</v>
      </c>
      <c r="B332" s="64">
        <v>472679</v>
      </c>
      <c r="C332" s="195" t="s">
        <v>3776</v>
      </c>
      <c r="D332" s="195" t="s">
        <v>3771</v>
      </c>
      <c r="E332" s="195" t="s">
        <v>3580</v>
      </c>
      <c r="F332" s="195" t="s">
        <v>3772</v>
      </c>
    </row>
    <row r="333" spans="1:6" x14ac:dyDescent="0.35">
      <c r="A333" s="195" t="s">
        <v>3356</v>
      </c>
      <c r="B333" s="64">
        <v>219311</v>
      </c>
      <c r="C333" s="195" t="s">
        <v>3777</v>
      </c>
      <c r="D333" s="195" t="s">
        <v>3771</v>
      </c>
      <c r="E333" s="195" t="s">
        <v>3580</v>
      </c>
      <c r="F333" s="195" t="s">
        <v>3772</v>
      </c>
    </row>
    <row r="334" spans="1:6" x14ac:dyDescent="0.35">
      <c r="A334" s="195" t="s">
        <v>3357</v>
      </c>
      <c r="B334" s="64">
        <v>71091</v>
      </c>
      <c r="C334" s="195" t="s">
        <v>3778</v>
      </c>
      <c r="D334" s="195" t="s">
        <v>3771</v>
      </c>
      <c r="E334" s="195" t="s">
        <v>3580</v>
      </c>
      <c r="F334" s="195" t="s">
        <v>3772</v>
      </c>
    </row>
    <row r="335" spans="1:6" x14ac:dyDescent="0.35">
      <c r="A335" s="195" t="s">
        <v>3358</v>
      </c>
      <c r="B335" s="64">
        <v>844178</v>
      </c>
      <c r="C335" s="195" t="s">
        <v>3760</v>
      </c>
      <c r="D335" s="195" t="s">
        <v>3771</v>
      </c>
      <c r="E335" s="195" t="s">
        <v>3580</v>
      </c>
      <c r="F335" s="195" t="s">
        <v>3772</v>
      </c>
    </row>
    <row r="336" spans="1:6" x14ac:dyDescent="0.35">
      <c r="A336" s="195" t="s">
        <v>3359</v>
      </c>
      <c r="B336" s="64">
        <v>69177</v>
      </c>
      <c r="C336" s="195" t="s">
        <v>3779</v>
      </c>
      <c r="D336" s="195" t="s">
        <v>3771</v>
      </c>
      <c r="E336" s="195" t="s">
        <v>3580</v>
      </c>
      <c r="F336" s="195" t="s">
        <v>3772</v>
      </c>
    </row>
    <row r="337" spans="1:6" x14ac:dyDescent="0.35">
      <c r="A337" s="195" t="s">
        <v>3360</v>
      </c>
      <c r="B337" s="64">
        <v>247164</v>
      </c>
      <c r="C337" s="195" t="s">
        <v>3780</v>
      </c>
      <c r="D337" s="195" t="s">
        <v>3771</v>
      </c>
      <c r="E337" s="195" t="s">
        <v>3580</v>
      </c>
      <c r="F337" s="195" t="s">
        <v>3772</v>
      </c>
    </row>
    <row r="338" spans="1:6" x14ac:dyDescent="0.35">
      <c r="A338" s="195" t="s">
        <v>3361</v>
      </c>
      <c r="B338" s="64">
        <v>321848</v>
      </c>
      <c r="C338" s="195" t="s">
        <v>3781</v>
      </c>
      <c r="D338" s="195" t="s">
        <v>3771</v>
      </c>
      <c r="E338" s="195" t="s">
        <v>3580</v>
      </c>
      <c r="F338" s="195" t="s">
        <v>3772</v>
      </c>
    </row>
    <row r="339" spans="1:6" x14ac:dyDescent="0.35">
      <c r="A339" s="195" t="s">
        <v>3362</v>
      </c>
      <c r="B339" s="64">
        <v>163417</v>
      </c>
      <c r="C339" s="195" t="s">
        <v>3782</v>
      </c>
      <c r="D339" s="195" t="s">
        <v>3771</v>
      </c>
      <c r="E339" s="195" t="s">
        <v>3580</v>
      </c>
      <c r="F339" s="195" t="s">
        <v>3772</v>
      </c>
    </row>
    <row r="340" spans="1:6" x14ac:dyDescent="0.35">
      <c r="A340" s="195" t="s">
        <v>3363</v>
      </c>
      <c r="B340" s="64">
        <v>32904</v>
      </c>
      <c r="C340" s="195" t="s">
        <v>3783</v>
      </c>
      <c r="D340" s="195" t="s">
        <v>3771</v>
      </c>
      <c r="E340" s="195" t="s">
        <v>3580</v>
      </c>
      <c r="F340" s="195" t="s">
        <v>3772</v>
      </c>
    </row>
    <row r="341" spans="1:6" x14ac:dyDescent="0.35">
      <c r="A341" s="195" t="s">
        <v>3364</v>
      </c>
      <c r="B341" s="64">
        <v>9668</v>
      </c>
      <c r="C341" s="195" t="s">
        <v>3784</v>
      </c>
      <c r="D341" s="195" t="s">
        <v>3771</v>
      </c>
      <c r="E341" s="195" t="s">
        <v>3580</v>
      </c>
      <c r="F341" s="195" t="s">
        <v>3772</v>
      </c>
    </row>
    <row r="342" spans="1:6" x14ac:dyDescent="0.35">
      <c r="A342" s="195" t="s">
        <v>3366</v>
      </c>
      <c r="B342" s="195">
        <v>911</v>
      </c>
      <c r="C342" s="195" t="s">
        <v>3785</v>
      </c>
      <c r="D342" s="195" t="s">
        <v>3786</v>
      </c>
      <c r="E342" s="195" t="s">
        <v>3580</v>
      </c>
      <c r="F342" s="195" t="s">
        <v>3787</v>
      </c>
    </row>
    <row r="343" spans="1:6" x14ac:dyDescent="0.35">
      <c r="A343" s="195" t="s">
        <v>3367</v>
      </c>
      <c r="B343" s="64">
        <v>844178</v>
      </c>
      <c r="C343" s="195" t="s">
        <v>26</v>
      </c>
      <c r="D343" s="195" t="s">
        <v>3788</v>
      </c>
      <c r="E343" s="195" t="s">
        <v>3580</v>
      </c>
      <c r="F343" s="195" t="s">
        <v>3789</v>
      </c>
    </row>
    <row r="344" spans="1:6" x14ac:dyDescent="0.35">
      <c r="A344" s="195" t="s">
        <v>3368</v>
      </c>
      <c r="B344" s="64">
        <v>818611</v>
      </c>
      <c r="C344" s="195" t="s">
        <v>3790</v>
      </c>
      <c r="D344" s="195" t="s">
        <v>3788</v>
      </c>
      <c r="E344" s="195" t="s">
        <v>3580</v>
      </c>
      <c r="F344" s="195" t="s">
        <v>3789</v>
      </c>
    </row>
    <row r="345" spans="1:6" x14ac:dyDescent="0.35">
      <c r="A345" s="195" t="s">
        <v>3369</v>
      </c>
      <c r="B345" s="64">
        <v>3074</v>
      </c>
      <c r="C345" s="195" t="s">
        <v>3791</v>
      </c>
      <c r="D345" s="195" t="s">
        <v>3788</v>
      </c>
      <c r="E345" s="195" t="s">
        <v>3580</v>
      </c>
      <c r="F345" s="195" t="s">
        <v>3789</v>
      </c>
    </row>
    <row r="346" spans="1:6" x14ac:dyDescent="0.35">
      <c r="A346" s="195" t="s">
        <v>3370</v>
      </c>
      <c r="B346" s="64">
        <v>2319</v>
      </c>
      <c r="C346" s="195" t="s">
        <v>3792</v>
      </c>
      <c r="D346" s="195" t="s">
        <v>3788</v>
      </c>
      <c r="E346" s="195" t="s">
        <v>3580</v>
      </c>
      <c r="F346" s="195" t="s">
        <v>3789</v>
      </c>
    </row>
    <row r="347" spans="1:6" x14ac:dyDescent="0.35">
      <c r="A347" s="195" t="s">
        <v>3371</v>
      </c>
      <c r="B347" s="64">
        <v>5694</v>
      </c>
      <c r="C347" s="195" t="s">
        <v>3793</v>
      </c>
      <c r="D347" s="195" t="s">
        <v>3788</v>
      </c>
      <c r="E347" s="195" t="s">
        <v>3580</v>
      </c>
      <c r="F347" s="195" t="s">
        <v>3789</v>
      </c>
    </row>
    <row r="348" spans="1:6" x14ac:dyDescent="0.35">
      <c r="A348" s="195" t="s">
        <v>3372</v>
      </c>
      <c r="B348" s="64">
        <v>14603</v>
      </c>
      <c r="C348" s="195" t="s">
        <v>3794</v>
      </c>
      <c r="D348" s="195" t="s">
        <v>3788</v>
      </c>
      <c r="E348" s="195" t="s">
        <v>3580</v>
      </c>
      <c r="F348" s="195" t="s">
        <v>3789</v>
      </c>
    </row>
    <row r="349" spans="1:6" x14ac:dyDescent="0.35">
      <c r="A349" s="195" t="s">
        <v>3373</v>
      </c>
      <c r="B349" s="64">
        <v>9661</v>
      </c>
      <c r="C349" s="195" t="s">
        <v>3795</v>
      </c>
      <c r="D349" s="195" t="s">
        <v>3788</v>
      </c>
      <c r="E349" s="195" t="s">
        <v>3580</v>
      </c>
      <c r="F349" s="195" t="s">
        <v>3789</v>
      </c>
    </row>
    <row r="350" spans="1:6" x14ac:dyDescent="0.35">
      <c r="A350" s="195" t="s">
        <v>3374</v>
      </c>
      <c r="B350" s="64">
        <v>8489</v>
      </c>
      <c r="C350" s="195" t="s">
        <v>3796</v>
      </c>
      <c r="D350" s="195" t="s">
        <v>3788</v>
      </c>
      <c r="E350" s="195" t="s">
        <v>3580</v>
      </c>
      <c r="F350" s="195" t="s">
        <v>3789</v>
      </c>
    </row>
    <row r="351" spans="1:6" x14ac:dyDescent="0.35">
      <c r="A351" s="195" t="s">
        <v>3375</v>
      </c>
      <c r="B351" s="64">
        <v>8243</v>
      </c>
      <c r="C351" s="195" t="s">
        <v>3797</v>
      </c>
      <c r="D351" s="195" t="s">
        <v>3788</v>
      </c>
      <c r="E351" s="195" t="s">
        <v>3580</v>
      </c>
      <c r="F351" s="195" t="s">
        <v>3789</v>
      </c>
    </row>
    <row r="352" spans="1:6" x14ac:dyDescent="0.35">
      <c r="A352" s="195" t="s">
        <v>3376</v>
      </c>
      <c r="B352" s="64">
        <v>8413</v>
      </c>
      <c r="C352" s="195" t="s">
        <v>3798</v>
      </c>
      <c r="D352" s="195" t="s">
        <v>3788</v>
      </c>
      <c r="E352" s="195" t="s">
        <v>3580</v>
      </c>
      <c r="F352" s="195" t="s">
        <v>3789</v>
      </c>
    </row>
    <row r="353" spans="1:6" x14ac:dyDescent="0.35">
      <c r="A353" s="195" t="s">
        <v>3377</v>
      </c>
      <c r="B353" s="64">
        <v>8264</v>
      </c>
      <c r="C353" s="195" t="s">
        <v>3799</v>
      </c>
      <c r="D353" s="195" t="s">
        <v>3788</v>
      </c>
      <c r="E353" s="195" t="s">
        <v>3580</v>
      </c>
      <c r="F353" s="195" t="s">
        <v>3789</v>
      </c>
    </row>
    <row r="354" spans="1:6" x14ac:dyDescent="0.35">
      <c r="A354" s="195" t="s">
        <v>3378</v>
      </c>
      <c r="B354" s="64">
        <v>11091</v>
      </c>
      <c r="C354" s="195" t="s">
        <v>3800</v>
      </c>
      <c r="D354" s="195" t="s">
        <v>3788</v>
      </c>
      <c r="E354" s="195" t="s">
        <v>3580</v>
      </c>
      <c r="F354" s="195" t="s">
        <v>3789</v>
      </c>
    </row>
    <row r="355" spans="1:6" x14ac:dyDescent="0.35">
      <c r="A355" s="195" t="s">
        <v>3379</v>
      </c>
      <c r="B355" s="64">
        <v>12044</v>
      </c>
      <c r="C355" s="195" t="s">
        <v>3801</v>
      </c>
      <c r="D355" s="195" t="s">
        <v>3788</v>
      </c>
      <c r="E355" s="195" t="s">
        <v>3580</v>
      </c>
      <c r="F355" s="195" t="s">
        <v>3789</v>
      </c>
    </row>
    <row r="356" spans="1:6" x14ac:dyDescent="0.35">
      <c r="A356" s="195" t="s">
        <v>3380</v>
      </c>
      <c r="B356" s="64">
        <v>18948</v>
      </c>
      <c r="C356" s="195" t="s">
        <v>3802</v>
      </c>
      <c r="D356" s="195" t="s">
        <v>3788</v>
      </c>
      <c r="E356" s="195" t="s">
        <v>3580</v>
      </c>
      <c r="F356" s="195" t="s">
        <v>3789</v>
      </c>
    </row>
    <row r="357" spans="1:6" x14ac:dyDescent="0.35">
      <c r="A357" s="195" t="s">
        <v>3381</v>
      </c>
      <c r="B357" s="64">
        <v>22823</v>
      </c>
      <c r="C357" s="195" t="s">
        <v>3803</v>
      </c>
      <c r="D357" s="195" t="s">
        <v>3788</v>
      </c>
      <c r="E357" s="195" t="s">
        <v>3580</v>
      </c>
      <c r="F357" s="195" t="s">
        <v>3789</v>
      </c>
    </row>
    <row r="358" spans="1:6" x14ac:dyDescent="0.35">
      <c r="A358" s="195" t="s">
        <v>3382</v>
      </c>
      <c r="B358" s="64">
        <v>32093</v>
      </c>
      <c r="C358" s="195" t="s">
        <v>3804</v>
      </c>
      <c r="D358" s="195" t="s">
        <v>3788</v>
      </c>
      <c r="E358" s="195" t="s">
        <v>3580</v>
      </c>
      <c r="F358" s="195" t="s">
        <v>3789</v>
      </c>
    </row>
    <row r="359" spans="1:6" x14ac:dyDescent="0.35">
      <c r="A359" s="195" t="s">
        <v>3383</v>
      </c>
      <c r="B359" s="64">
        <v>36502</v>
      </c>
      <c r="C359" s="195" t="s">
        <v>3805</v>
      </c>
      <c r="D359" s="195" t="s">
        <v>3788</v>
      </c>
      <c r="E359" s="195" t="s">
        <v>3580</v>
      </c>
      <c r="F359" s="195" t="s">
        <v>3789</v>
      </c>
    </row>
    <row r="360" spans="1:6" x14ac:dyDescent="0.35">
      <c r="A360" s="195" t="s">
        <v>3384</v>
      </c>
      <c r="B360" s="64">
        <v>86121</v>
      </c>
      <c r="C360" s="195" t="s">
        <v>3806</v>
      </c>
      <c r="D360" s="195" t="s">
        <v>3788</v>
      </c>
      <c r="E360" s="195" t="s">
        <v>3580</v>
      </c>
      <c r="F360" s="195" t="s">
        <v>3789</v>
      </c>
    </row>
    <row r="361" spans="1:6" x14ac:dyDescent="0.35">
      <c r="A361" s="195" t="s">
        <v>3385</v>
      </c>
      <c r="B361" s="64">
        <v>91638</v>
      </c>
      <c r="C361" s="195" t="s">
        <v>3807</v>
      </c>
      <c r="D361" s="195" t="s">
        <v>3788</v>
      </c>
      <c r="E361" s="195" t="s">
        <v>3580</v>
      </c>
      <c r="F361" s="195" t="s">
        <v>3789</v>
      </c>
    </row>
    <row r="362" spans="1:6" x14ac:dyDescent="0.35">
      <c r="A362" s="195" t="s">
        <v>3386</v>
      </c>
      <c r="B362" s="64">
        <v>165012</v>
      </c>
      <c r="C362" s="195" t="s">
        <v>3808</v>
      </c>
      <c r="D362" s="195" t="s">
        <v>3788</v>
      </c>
      <c r="E362" s="195" t="s">
        <v>3580</v>
      </c>
      <c r="F362" s="195" t="s">
        <v>3789</v>
      </c>
    </row>
    <row r="363" spans="1:6" x14ac:dyDescent="0.35">
      <c r="A363" s="195" t="s">
        <v>3387</v>
      </c>
      <c r="B363" s="64">
        <v>98317</v>
      </c>
      <c r="C363" s="195" t="s">
        <v>3809</v>
      </c>
      <c r="D363" s="195" t="s">
        <v>3788</v>
      </c>
      <c r="E363" s="195" t="s">
        <v>3580</v>
      </c>
      <c r="F363" s="195" t="s">
        <v>3789</v>
      </c>
    </row>
    <row r="364" spans="1:6" x14ac:dyDescent="0.35">
      <c r="A364" s="195" t="s">
        <v>3388</v>
      </c>
      <c r="B364" s="64">
        <v>108411</v>
      </c>
      <c r="C364" s="195" t="s">
        <v>3810</v>
      </c>
      <c r="D364" s="195" t="s">
        <v>3788</v>
      </c>
      <c r="E364" s="195" t="s">
        <v>3580</v>
      </c>
      <c r="F364" s="195" t="s">
        <v>3789</v>
      </c>
    </row>
    <row r="365" spans="1:6" x14ac:dyDescent="0.35">
      <c r="A365" s="195" t="s">
        <v>3389</v>
      </c>
      <c r="B365" s="64">
        <v>40308</v>
      </c>
      <c r="C365" s="195" t="s">
        <v>3811</v>
      </c>
      <c r="D365" s="195" t="s">
        <v>3788</v>
      </c>
      <c r="E365" s="195" t="s">
        <v>3580</v>
      </c>
      <c r="F365" s="195" t="s">
        <v>3789</v>
      </c>
    </row>
    <row r="366" spans="1:6" x14ac:dyDescent="0.35">
      <c r="A366" s="195" t="s">
        <v>3390</v>
      </c>
      <c r="B366" s="64">
        <v>14988</v>
      </c>
      <c r="C366" s="195" t="s">
        <v>3812</v>
      </c>
      <c r="D366" s="195" t="s">
        <v>3788</v>
      </c>
      <c r="E366" s="195" t="s">
        <v>3580</v>
      </c>
      <c r="F366" s="195" t="s">
        <v>3789</v>
      </c>
    </row>
    <row r="367" spans="1:6" x14ac:dyDescent="0.35">
      <c r="A367" s="195" t="s">
        <v>3391</v>
      </c>
      <c r="B367" s="64">
        <v>7117</v>
      </c>
      <c r="C367" s="195" t="s">
        <v>3813</v>
      </c>
      <c r="D367" s="195" t="s">
        <v>3788</v>
      </c>
      <c r="E367" s="195" t="s">
        <v>3580</v>
      </c>
      <c r="F367" s="195" t="s">
        <v>3789</v>
      </c>
    </row>
    <row r="368" spans="1:6" x14ac:dyDescent="0.35">
      <c r="A368" s="195" t="s">
        <v>3392</v>
      </c>
      <c r="B368" s="64">
        <v>4438</v>
      </c>
      <c r="C368" s="195" t="s">
        <v>3814</v>
      </c>
      <c r="D368" s="195" t="s">
        <v>3788</v>
      </c>
      <c r="E368" s="195" t="s">
        <v>3580</v>
      </c>
      <c r="F368" s="195" t="s">
        <v>3789</v>
      </c>
    </row>
    <row r="369" spans="1:6" x14ac:dyDescent="0.35">
      <c r="A369" s="195" t="s">
        <v>3393</v>
      </c>
      <c r="B369" s="64">
        <v>25567</v>
      </c>
      <c r="C369" s="195" t="s">
        <v>3815</v>
      </c>
      <c r="D369" s="195" t="s">
        <v>3788</v>
      </c>
      <c r="E369" s="195" t="s">
        <v>3580</v>
      </c>
      <c r="F369" s="195" t="s">
        <v>3789</v>
      </c>
    </row>
    <row r="370" spans="1:6" x14ac:dyDescent="0.35">
      <c r="A370" s="195" t="s">
        <v>3365</v>
      </c>
      <c r="B370" s="64">
        <v>227400</v>
      </c>
      <c r="C370" s="195" t="s">
        <v>3816</v>
      </c>
      <c r="D370" s="195" t="s">
        <v>3817</v>
      </c>
      <c r="E370" s="195" t="s">
        <v>3580</v>
      </c>
      <c r="F370" s="195" t="s">
        <v>3818</v>
      </c>
    </row>
    <row r="371" spans="1:6" x14ac:dyDescent="0.35">
      <c r="A371" s="195" t="s">
        <v>3394</v>
      </c>
      <c r="B371" s="64">
        <v>1956561</v>
      </c>
      <c r="C371" s="195" t="s">
        <v>26</v>
      </c>
      <c r="D371" s="195" t="s">
        <v>3819</v>
      </c>
      <c r="E371" s="195" t="s">
        <v>3580</v>
      </c>
      <c r="F371" s="195" t="s">
        <v>3820</v>
      </c>
    </row>
    <row r="372" spans="1:6" x14ac:dyDescent="0.35">
      <c r="A372" s="195" t="s">
        <v>3395</v>
      </c>
      <c r="B372" s="64">
        <v>1112383</v>
      </c>
      <c r="C372" s="195" t="s">
        <v>3749</v>
      </c>
      <c r="D372" s="195" t="s">
        <v>3819</v>
      </c>
      <c r="E372" s="195" t="s">
        <v>3580</v>
      </c>
      <c r="F372" s="195" t="s">
        <v>3820</v>
      </c>
    </row>
    <row r="373" spans="1:6" x14ac:dyDescent="0.35">
      <c r="A373" s="195" t="s">
        <v>3396</v>
      </c>
      <c r="B373" s="64">
        <v>341216</v>
      </c>
      <c r="C373" s="195" t="s">
        <v>3821</v>
      </c>
      <c r="D373" s="195" t="s">
        <v>3819</v>
      </c>
      <c r="E373" s="195" t="s">
        <v>3580</v>
      </c>
      <c r="F373" s="195" t="s">
        <v>3820</v>
      </c>
    </row>
    <row r="374" spans="1:6" x14ac:dyDescent="0.35">
      <c r="A374" s="195" t="s">
        <v>3397</v>
      </c>
      <c r="B374" s="64">
        <v>9377</v>
      </c>
      <c r="C374" s="195" t="s">
        <v>3822</v>
      </c>
      <c r="D374" s="195" t="s">
        <v>3819</v>
      </c>
      <c r="E374" s="195" t="s">
        <v>3580</v>
      </c>
      <c r="F374" s="195" t="s">
        <v>3820</v>
      </c>
    </row>
    <row r="375" spans="1:6" x14ac:dyDescent="0.35">
      <c r="A375" s="195" t="s">
        <v>3398</v>
      </c>
      <c r="B375" s="195">
        <v>401</v>
      </c>
      <c r="C375" s="195" t="s">
        <v>3823</v>
      </c>
      <c r="D375" s="195" t="s">
        <v>3819</v>
      </c>
      <c r="E375" s="195" t="s">
        <v>3580</v>
      </c>
      <c r="F375" s="195" t="s">
        <v>3820</v>
      </c>
    </row>
    <row r="376" spans="1:6" x14ac:dyDescent="0.35">
      <c r="A376" s="195" t="s">
        <v>3399</v>
      </c>
      <c r="B376" s="195">
        <v>0</v>
      </c>
      <c r="C376" s="195" t="s">
        <v>3824</v>
      </c>
      <c r="D376" s="195" t="s">
        <v>3819</v>
      </c>
      <c r="E376" s="195" t="s">
        <v>3580</v>
      </c>
      <c r="F376" s="195" t="s">
        <v>3820</v>
      </c>
    </row>
    <row r="377" spans="1:6" x14ac:dyDescent="0.35">
      <c r="A377" s="195" t="s">
        <v>3400</v>
      </c>
      <c r="B377" s="64">
        <v>761389</v>
      </c>
      <c r="C377" s="195" t="s">
        <v>3825</v>
      </c>
      <c r="D377" s="195" t="s">
        <v>3819</v>
      </c>
      <c r="E377" s="195" t="s">
        <v>3580</v>
      </c>
      <c r="F377" s="195" t="s">
        <v>3820</v>
      </c>
    </row>
    <row r="378" spans="1:6" x14ac:dyDescent="0.35">
      <c r="A378" s="195" t="s">
        <v>3401</v>
      </c>
      <c r="B378" s="64">
        <v>844178</v>
      </c>
      <c r="C378" s="195" t="s">
        <v>3760</v>
      </c>
      <c r="D378" s="195" t="s">
        <v>3819</v>
      </c>
      <c r="E378" s="195" t="s">
        <v>3580</v>
      </c>
      <c r="F378" s="195" t="s">
        <v>3820</v>
      </c>
    </row>
    <row r="379" spans="1:6" x14ac:dyDescent="0.35">
      <c r="A379" s="195" t="s">
        <v>3402</v>
      </c>
      <c r="B379" s="64">
        <v>384964</v>
      </c>
      <c r="C379" s="195" t="s">
        <v>3826</v>
      </c>
      <c r="D379" s="195" t="s">
        <v>3819</v>
      </c>
      <c r="E379" s="195" t="s">
        <v>3580</v>
      </c>
      <c r="F379" s="195" t="s">
        <v>3820</v>
      </c>
    </row>
    <row r="380" spans="1:6" x14ac:dyDescent="0.35">
      <c r="A380" s="195" t="s">
        <v>3403</v>
      </c>
      <c r="B380" s="64">
        <v>28258</v>
      </c>
      <c r="C380" s="195" t="s">
        <v>3827</v>
      </c>
      <c r="D380" s="195" t="s">
        <v>3819</v>
      </c>
      <c r="E380" s="195" t="s">
        <v>3580</v>
      </c>
      <c r="F380" s="195" t="s">
        <v>3820</v>
      </c>
    </row>
    <row r="381" spans="1:6" x14ac:dyDescent="0.35">
      <c r="A381" s="195" t="s">
        <v>3404</v>
      </c>
      <c r="B381" s="64">
        <v>1387</v>
      </c>
      <c r="C381" s="195" t="s">
        <v>3828</v>
      </c>
      <c r="D381" s="195" t="s">
        <v>3819</v>
      </c>
      <c r="E381" s="195" t="s">
        <v>3580</v>
      </c>
      <c r="F381" s="195" t="s">
        <v>3820</v>
      </c>
    </row>
    <row r="382" spans="1:6" x14ac:dyDescent="0.35">
      <c r="A382" s="195" t="s">
        <v>3405</v>
      </c>
      <c r="B382" s="195">
        <v>23</v>
      </c>
      <c r="C382" s="195" t="s">
        <v>3829</v>
      </c>
      <c r="D382" s="195" t="s">
        <v>3819</v>
      </c>
      <c r="E382" s="195" t="s">
        <v>3580</v>
      </c>
      <c r="F382" s="195" t="s">
        <v>3820</v>
      </c>
    </row>
    <row r="383" spans="1:6" x14ac:dyDescent="0.35">
      <c r="A383" s="195" t="s">
        <v>3406</v>
      </c>
      <c r="B383" s="64">
        <v>429546</v>
      </c>
      <c r="C383" s="195" t="s">
        <v>3830</v>
      </c>
      <c r="D383" s="195" t="s">
        <v>3819</v>
      </c>
      <c r="E383" s="195" t="s">
        <v>3580</v>
      </c>
      <c r="F383" s="195" t="s">
        <v>3820</v>
      </c>
    </row>
    <row r="384" spans="1:6" x14ac:dyDescent="0.35">
      <c r="A384" s="195" t="s">
        <v>3832</v>
      </c>
      <c r="B384" s="64">
        <v>991828</v>
      </c>
      <c r="C384" s="195" t="s">
        <v>3837</v>
      </c>
      <c r="D384" s="195" t="s">
        <v>3842</v>
      </c>
      <c r="E384" s="195" t="s">
        <v>3580</v>
      </c>
      <c r="F384" s="195" t="s">
        <v>3843</v>
      </c>
    </row>
    <row r="385" spans="1:6" x14ac:dyDescent="0.35">
      <c r="A385" s="195" t="s">
        <v>3833</v>
      </c>
      <c r="B385" s="64">
        <v>452513</v>
      </c>
      <c r="C385" s="195" t="s">
        <v>3838</v>
      </c>
      <c r="D385" s="195" t="s">
        <v>3842</v>
      </c>
      <c r="E385" s="195" t="s">
        <v>3580</v>
      </c>
      <c r="F385" s="195" t="s">
        <v>3843</v>
      </c>
    </row>
    <row r="386" spans="1:6" x14ac:dyDescent="0.35">
      <c r="A386" s="195" t="s">
        <v>3834</v>
      </c>
      <c r="B386" s="64">
        <v>595172</v>
      </c>
      <c r="C386" s="195" t="s">
        <v>3839</v>
      </c>
      <c r="D386" s="195" t="s">
        <v>3842</v>
      </c>
      <c r="E386" s="195" t="s">
        <v>3580</v>
      </c>
      <c r="F386" s="195" t="s">
        <v>3843</v>
      </c>
    </row>
    <row r="387" spans="1:6" x14ac:dyDescent="0.35">
      <c r="A387" s="195" t="s">
        <v>3835</v>
      </c>
      <c r="B387" s="64">
        <v>150561</v>
      </c>
      <c r="C387" s="195" t="s">
        <v>3840</v>
      </c>
      <c r="D387" s="195" t="s">
        <v>3842</v>
      </c>
      <c r="E387" s="195" t="s">
        <v>3580</v>
      </c>
      <c r="F387" s="195" t="s">
        <v>3843</v>
      </c>
    </row>
    <row r="388" spans="1:6" x14ac:dyDescent="0.35">
      <c r="A388" s="195" t="s">
        <v>3836</v>
      </c>
      <c r="B388" s="64">
        <v>331363</v>
      </c>
      <c r="C388" s="195" t="s">
        <v>3841</v>
      </c>
      <c r="D388" s="195" t="s">
        <v>3842</v>
      </c>
      <c r="E388" s="195" t="s">
        <v>3580</v>
      </c>
      <c r="F388" s="195" t="s">
        <v>3843</v>
      </c>
    </row>
    <row r="390" spans="1:6" x14ac:dyDescent="0.35">
      <c r="A390" s="195" t="s">
        <v>4094</v>
      </c>
      <c r="B390" s="195" t="str">
        <f>"=VLOOKUP("""&amp;A390&amp;""",'ACS 2017'!$A$1:$F$388,2,FALSE) "</f>
        <v xml:space="preserve">=VLOOKUP("b20004_002",'ACS 2017'!$A$1:$F$388,2,FALSE) </v>
      </c>
    </row>
    <row r="391" spans="1:6" x14ac:dyDescent="0.35">
      <c r="A391" s="195" t="s">
        <v>4095</v>
      </c>
      <c r="B391" s="195" t="str">
        <f t="shared" ref="B391:B394" si="0">"=VLOOKUP("""&amp;A391&amp;""",'ACS 2017'!$A$1:$F$388,2,FALSE) "</f>
        <v xml:space="preserve">=VLOOKUP("b20004_003",'ACS 2017'!$A$1:$F$388,2,FALSE) </v>
      </c>
    </row>
    <row r="392" spans="1:6" x14ac:dyDescent="0.35">
      <c r="A392" s="195" t="s">
        <v>4096</v>
      </c>
      <c r="B392" s="195" t="str">
        <f t="shared" si="0"/>
        <v xml:space="preserve">=VLOOKUP("b20004_004",'ACS 2017'!$A$1:$F$388,2,FALSE) </v>
      </c>
    </row>
    <row r="393" spans="1:6" x14ac:dyDescent="0.35">
      <c r="A393" s="195" t="s">
        <v>4097</v>
      </c>
      <c r="B393" s="195" t="str">
        <f t="shared" si="0"/>
        <v xml:space="preserve">=VLOOKUP("b20004_005",'ACS 2017'!$A$1:$F$388,2,FALSE) </v>
      </c>
    </row>
    <row r="394" spans="1:6" x14ac:dyDescent="0.35">
      <c r="A394" s="195" t="s">
        <v>4098</v>
      </c>
      <c r="B394" s="195" t="str">
        <f t="shared" si="0"/>
        <v xml:space="preserve">=VLOOKUP("b20004_006",'ACS 2017'!$A$1:$F$388,2,FALSE) </v>
      </c>
    </row>
  </sheetData>
  <autoFilter ref="A1:F388" xr:uid="{00000000-0009-0000-0000-000004000000}"/>
  <sortState xmlns:xlrd2="http://schemas.microsoft.com/office/spreadsheetml/2017/richdata2" ref="A2:F388">
    <sortCondition ref="A2:A388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99"/>
  <sheetViews>
    <sheetView workbookViewId="0"/>
  </sheetViews>
  <sheetFormatPr defaultRowHeight="14.5" x14ac:dyDescent="0.35"/>
  <cols>
    <col min="1" max="1" width="13.54296875" customWidth="1"/>
    <col min="2" max="2" width="16.7265625" customWidth="1"/>
    <col min="3" max="3" width="77" bestFit="1" customWidth="1"/>
    <col min="4" max="4" width="94.7265625" customWidth="1"/>
  </cols>
  <sheetData>
    <row r="1" spans="1:7" x14ac:dyDescent="0.35">
      <c r="A1" s="189" t="s">
        <v>3831</v>
      </c>
      <c r="B1" s="189" t="s">
        <v>4174</v>
      </c>
      <c r="C1" t="s">
        <v>3575</v>
      </c>
      <c r="D1" t="s">
        <v>3576</v>
      </c>
      <c r="E1" t="s">
        <v>3577</v>
      </c>
      <c r="F1" t="s">
        <v>3578</v>
      </c>
    </row>
    <row r="2" spans="1:7" x14ac:dyDescent="0.35">
      <c r="A2" s="189" t="s">
        <v>3336</v>
      </c>
      <c r="B2" s="64">
        <f>VLOOKUP(A2,'ACS 2017 Cook Co'!$A$1:$F$388,2,FALSE) - VLOOKUP(A2,'ACS 2017 Chicago'!$A$1:$F$388,2,FALSE)</f>
        <v>2515955</v>
      </c>
      <c r="C2" t="s">
        <v>26</v>
      </c>
      <c r="D2" t="s">
        <v>3579</v>
      </c>
      <c r="E2" t="s">
        <v>3580</v>
      </c>
      <c r="F2" t="s">
        <v>3581</v>
      </c>
    </row>
    <row r="3" spans="1:7" x14ac:dyDescent="0.35">
      <c r="A3" s="189" t="s">
        <v>3844</v>
      </c>
      <c r="B3" s="64">
        <f>VLOOKUP(A3,'ACS 2017 Cook Co'!$A$1:$F$388,2,FALSE) - VLOOKUP(A3,'ACS 2017 Chicago'!$A$1:$F$388,2,FALSE)</f>
        <v>1131842</v>
      </c>
      <c r="C3" t="s">
        <v>26</v>
      </c>
      <c r="D3" t="s">
        <v>3857</v>
      </c>
      <c r="E3" t="s">
        <v>3580</v>
      </c>
      <c r="F3" t="s">
        <v>3858</v>
      </c>
      <c r="G3" s="189"/>
    </row>
    <row r="4" spans="1:7" x14ac:dyDescent="0.35">
      <c r="A4" s="189" t="s">
        <v>3845</v>
      </c>
      <c r="B4" s="64">
        <f>VLOOKUP(A4,'ACS 2017 Cook Co'!$A$1:$F$388,2,FALSE) - VLOOKUP(A4,'ACS 2017 Chicago'!$A$1:$F$388,2,FALSE)</f>
        <v>15964</v>
      </c>
      <c r="C4" t="s">
        <v>3859</v>
      </c>
      <c r="D4" t="s">
        <v>3857</v>
      </c>
      <c r="E4" t="s">
        <v>3580</v>
      </c>
      <c r="F4" t="s">
        <v>3858</v>
      </c>
      <c r="G4" s="189"/>
    </row>
    <row r="5" spans="1:7" x14ac:dyDescent="0.35">
      <c r="A5" s="189" t="s">
        <v>3846</v>
      </c>
      <c r="B5" s="64">
        <f>VLOOKUP(A5,'ACS 2017 Cook Co'!$A$1:$F$388,2,FALSE) - VLOOKUP(A5,'ACS 2017 Chicago'!$A$1:$F$388,2,FALSE)</f>
        <v>77009</v>
      </c>
      <c r="C5" t="s">
        <v>3860</v>
      </c>
      <c r="D5" t="s">
        <v>3857</v>
      </c>
      <c r="E5" t="s">
        <v>3580</v>
      </c>
      <c r="F5" t="s">
        <v>3858</v>
      </c>
      <c r="G5" s="189"/>
    </row>
    <row r="6" spans="1:7" x14ac:dyDescent="0.35">
      <c r="A6" s="189" t="s">
        <v>3847</v>
      </c>
      <c r="B6" s="64">
        <f>VLOOKUP(A6,'ACS 2017 Cook Co'!$A$1:$F$388,2,FALSE) - VLOOKUP(A6,'ACS 2017 Chicago'!$A$1:$F$388,2,FALSE)</f>
        <v>119756</v>
      </c>
      <c r="C6" t="s">
        <v>3861</v>
      </c>
      <c r="D6" t="s">
        <v>3857</v>
      </c>
      <c r="E6" t="s">
        <v>3580</v>
      </c>
      <c r="F6" t="s">
        <v>3858</v>
      </c>
      <c r="G6" s="189"/>
    </row>
    <row r="7" spans="1:7" x14ac:dyDescent="0.35">
      <c r="A7" s="189" t="s">
        <v>3848</v>
      </c>
      <c r="B7" s="64">
        <f>VLOOKUP(A7,'ACS 2017 Cook Co'!$A$1:$F$388,2,FALSE) - VLOOKUP(A7,'ACS 2017 Chicago'!$A$1:$F$388,2,FALSE)</f>
        <v>137047</v>
      </c>
      <c r="C7" t="s">
        <v>3862</v>
      </c>
      <c r="D7" t="s">
        <v>3857</v>
      </c>
      <c r="E7" t="s">
        <v>3580</v>
      </c>
      <c r="F7" t="s">
        <v>3858</v>
      </c>
      <c r="G7" s="189"/>
    </row>
    <row r="8" spans="1:7" x14ac:dyDescent="0.35">
      <c r="A8" s="189" t="s">
        <v>3849</v>
      </c>
      <c r="B8" s="64">
        <f>VLOOKUP(A8,'ACS 2017 Cook Co'!$A$1:$F$388,2,FALSE) - VLOOKUP(A8,'ACS 2017 Chicago'!$A$1:$F$388,2,FALSE)</f>
        <v>139926</v>
      </c>
      <c r="C8" t="s">
        <v>3863</v>
      </c>
      <c r="D8" t="s">
        <v>3857</v>
      </c>
      <c r="E8" t="s">
        <v>3580</v>
      </c>
      <c r="F8" t="s">
        <v>3858</v>
      </c>
      <c r="G8" s="189"/>
    </row>
    <row r="9" spans="1:7" x14ac:dyDescent="0.35">
      <c r="A9" s="189" t="s">
        <v>3850</v>
      </c>
      <c r="B9" s="64">
        <f>VLOOKUP(A9,'ACS 2017 Cook Co'!$A$1:$F$388,2,FALSE) - VLOOKUP(A9,'ACS 2017 Chicago'!$A$1:$F$388,2,FALSE)</f>
        <v>69394</v>
      </c>
      <c r="C9" t="s">
        <v>3864</v>
      </c>
      <c r="D9" t="s">
        <v>3857</v>
      </c>
      <c r="E9" t="s">
        <v>3580</v>
      </c>
      <c r="F9" t="s">
        <v>3858</v>
      </c>
      <c r="G9" s="189"/>
    </row>
    <row r="10" spans="1:7" x14ac:dyDescent="0.35">
      <c r="A10" s="189" t="s">
        <v>3851</v>
      </c>
      <c r="B10" s="64">
        <f>VLOOKUP(A10,'ACS 2017 Cook Co'!$A$1:$F$388,2,FALSE) - VLOOKUP(A10,'ACS 2017 Chicago'!$A$1:$F$388,2,FALSE)</f>
        <v>174344</v>
      </c>
      <c r="C10" t="s">
        <v>3865</v>
      </c>
      <c r="D10" t="s">
        <v>3857</v>
      </c>
      <c r="E10" t="s">
        <v>3580</v>
      </c>
      <c r="F10" t="s">
        <v>3858</v>
      </c>
      <c r="G10" s="189"/>
    </row>
    <row r="11" spans="1:7" x14ac:dyDescent="0.35">
      <c r="A11" s="189" t="s">
        <v>3852</v>
      </c>
      <c r="B11" s="64">
        <f>VLOOKUP(A11,'ACS 2017 Cook Co'!$A$1:$F$388,2,FALSE) - VLOOKUP(A11,'ACS 2017 Chicago'!$A$1:$F$388,2,FALSE)</f>
        <v>43777</v>
      </c>
      <c r="C11" t="s">
        <v>3866</v>
      </c>
      <c r="D11" t="s">
        <v>3857</v>
      </c>
      <c r="E11" t="s">
        <v>3580</v>
      </c>
      <c r="F11" t="s">
        <v>3858</v>
      </c>
      <c r="G11" s="189"/>
    </row>
    <row r="12" spans="1:7" x14ac:dyDescent="0.35">
      <c r="A12" s="189" t="s">
        <v>3853</v>
      </c>
      <c r="B12" s="64">
        <f>VLOOKUP(A12,'ACS 2017 Cook Co'!$A$1:$F$388,2,FALSE) - VLOOKUP(A12,'ACS 2017 Chicago'!$A$1:$F$388,2,FALSE)</f>
        <v>66598</v>
      </c>
      <c r="C12" t="s">
        <v>3867</v>
      </c>
      <c r="D12" t="s">
        <v>3857</v>
      </c>
      <c r="E12" t="s">
        <v>3580</v>
      </c>
      <c r="F12" t="s">
        <v>3858</v>
      </c>
      <c r="G12" s="189"/>
    </row>
    <row r="13" spans="1:7" x14ac:dyDescent="0.35">
      <c r="A13" s="189" t="s">
        <v>3854</v>
      </c>
      <c r="B13" s="64">
        <f>VLOOKUP(A13,'ACS 2017 Cook Co'!$A$1:$F$388,2,FALSE) - VLOOKUP(A13,'ACS 2017 Chicago'!$A$1:$F$388,2,FALSE)</f>
        <v>139273</v>
      </c>
      <c r="C13" t="s">
        <v>3868</v>
      </c>
      <c r="D13" t="s">
        <v>3857</v>
      </c>
      <c r="E13" t="s">
        <v>3580</v>
      </c>
      <c r="F13" t="s">
        <v>3858</v>
      </c>
      <c r="G13" s="189"/>
    </row>
    <row r="14" spans="1:7" x14ac:dyDescent="0.35">
      <c r="A14" s="189" t="s">
        <v>3855</v>
      </c>
      <c r="B14" s="64">
        <f>VLOOKUP(A14,'ACS 2017 Cook Co'!$A$1:$F$388,2,FALSE) - VLOOKUP(A14,'ACS 2017 Chicago'!$A$1:$F$388,2,FALSE)</f>
        <v>117240</v>
      </c>
      <c r="C14" t="s">
        <v>3869</v>
      </c>
      <c r="D14" t="s">
        <v>3857</v>
      </c>
      <c r="E14" t="s">
        <v>3580</v>
      </c>
      <c r="F14" t="s">
        <v>3858</v>
      </c>
      <c r="G14" s="189"/>
    </row>
    <row r="15" spans="1:7" x14ac:dyDescent="0.35">
      <c r="A15" s="189" t="s">
        <v>3856</v>
      </c>
      <c r="B15" s="64">
        <f>VLOOKUP(A15,'ACS 2017 Cook Co'!$A$1:$F$388,2,FALSE) - VLOOKUP(A15,'ACS 2017 Chicago'!$A$1:$F$388,2,FALSE)</f>
        <v>31514</v>
      </c>
      <c r="C15" t="s">
        <v>3870</v>
      </c>
      <c r="D15" t="s">
        <v>3857</v>
      </c>
      <c r="E15" t="s">
        <v>3580</v>
      </c>
      <c r="F15" t="s">
        <v>3858</v>
      </c>
      <c r="G15" s="189"/>
    </row>
    <row r="16" spans="1:7" x14ac:dyDescent="0.35">
      <c r="A16" s="189" t="s">
        <v>3900</v>
      </c>
      <c r="B16" s="64">
        <f>VLOOKUP(A16,'ACS 2017 Cook Co'!$A$1:$F$388,2,FALSE) - VLOOKUP(A16,'ACS 2017 Chicago'!$A$1:$F$388,2,FALSE)</f>
        <v>1928696</v>
      </c>
      <c r="C16" t="s">
        <v>26</v>
      </c>
      <c r="D16" t="s">
        <v>4013</v>
      </c>
      <c r="E16" t="s">
        <v>3580</v>
      </c>
      <c r="F16" t="s">
        <v>4014</v>
      </c>
      <c r="G16" s="189"/>
    </row>
    <row r="17" spans="1:7" x14ac:dyDescent="0.35">
      <c r="A17" s="189" t="s">
        <v>3901</v>
      </c>
      <c r="B17" s="64">
        <f>VLOOKUP(A17,'ACS 2017 Cook Co'!$A$1:$F$388,2,FALSE) - VLOOKUP(A17,'ACS 2017 Chicago'!$A$1:$F$388,2,FALSE)</f>
        <v>918862</v>
      </c>
      <c r="C17" t="s">
        <v>3587</v>
      </c>
      <c r="D17" t="s">
        <v>4013</v>
      </c>
      <c r="E17" t="s">
        <v>3580</v>
      </c>
      <c r="F17" t="s">
        <v>4014</v>
      </c>
      <c r="G17" s="189"/>
    </row>
    <row r="18" spans="1:7" x14ac:dyDescent="0.35">
      <c r="A18" s="189" t="s">
        <v>3902</v>
      </c>
      <c r="B18" s="64">
        <f>VLOOKUP(A18,'ACS 2017 Cook Co'!$A$1:$F$388,2,FALSE) - VLOOKUP(A18,'ACS 2017 Chicago'!$A$1:$F$388,2,FALSE)</f>
        <v>105288</v>
      </c>
      <c r="C18" t="s">
        <v>4015</v>
      </c>
      <c r="D18" t="s">
        <v>4013</v>
      </c>
      <c r="E18" t="s">
        <v>3580</v>
      </c>
      <c r="F18" t="s">
        <v>4014</v>
      </c>
      <c r="G18" s="189"/>
    </row>
    <row r="19" spans="1:7" x14ac:dyDescent="0.35">
      <c r="A19" s="189" t="s">
        <v>3903</v>
      </c>
      <c r="B19" s="64">
        <f>VLOOKUP(A19,'ACS 2017 Cook Co'!$A$1:$F$388,2,FALSE) - VLOOKUP(A19,'ACS 2017 Chicago'!$A$1:$F$388,2,FALSE)</f>
        <v>1606</v>
      </c>
      <c r="C19" t="s">
        <v>4016</v>
      </c>
      <c r="D19" t="s">
        <v>4013</v>
      </c>
      <c r="E19" t="s">
        <v>3580</v>
      </c>
      <c r="F19" t="s">
        <v>4014</v>
      </c>
      <c r="G19" s="189"/>
    </row>
    <row r="20" spans="1:7" x14ac:dyDescent="0.35">
      <c r="A20" s="189" t="s">
        <v>3904</v>
      </c>
      <c r="B20" s="64">
        <f>VLOOKUP(A20,'ACS 2017 Cook Co'!$A$1:$F$388,2,FALSE) - VLOOKUP(A20,'ACS 2017 Chicago'!$A$1:$F$388,2,FALSE)</f>
        <v>13728</v>
      </c>
      <c r="C20" t="s">
        <v>4017</v>
      </c>
      <c r="D20" t="s">
        <v>4013</v>
      </c>
      <c r="E20" t="s">
        <v>3580</v>
      </c>
      <c r="F20" t="s">
        <v>4014</v>
      </c>
      <c r="G20" s="189"/>
    </row>
    <row r="21" spans="1:7" x14ac:dyDescent="0.35">
      <c r="A21" s="189" t="s">
        <v>3905</v>
      </c>
      <c r="B21" s="64">
        <f>VLOOKUP(A21,'ACS 2017 Cook Co'!$A$1:$F$388,2,FALSE) - VLOOKUP(A21,'ACS 2017 Chicago'!$A$1:$F$388,2,FALSE)</f>
        <v>32649</v>
      </c>
      <c r="C21" t="s">
        <v>4018</v>
      </c>
      <c r="D21" t="s">
        <v>4013</v>
      </c>
      <c r="E21" t="s">
        <v>3580</v>
      </c>
      <c r="F21" t="s">
        <v>4014</v>
      </c>
      <c r="G21" s="189"/>
    </row>
    <row r="22" spans="1:7" x14ac:dyDescent="0.35">
      <c r="A22" s="189" t="s">
        <v>3906</v>
      </c>
      <c r="B22" s="64">
        <f>VLOOKUP(A22,'ACS 2017 Cook Co'!$A$1:$F$388,2,FALSE) - VLOOKUP(A22,'ACS 2017 Chicago'!$A$1:$F$388,2,FALSE)</f>
        <v>40012</v>
      </c>
      <c r="C22" t="s">
        <v>4019</v>
      </c>
      <c r="D22" t="s">
        <v>4013</v>
      </c>
      <c r="E22" t="s">
        <v>3580</v>
      </c>
      <c r="F22" t="s">
        <v>4014</v>
      </c>
      <c r="G22" s="189"/>
    </row>
    <row r="23" spans="1:7" x14ac:dyDescent="0.35">
      <c r="A23" s="189" t="s">
        <v>3907</v>
      </c>
      <c r="B23" s="64">
        <f>VLOOKUP(A23,'ACS 2017 Cook Co'!$A$1:$F$388,2,FALSE) - VLOOKUP(A23,'ACS 2017 Chicago'!$A$1:$F$388,2,FALSE)</f>
        <v>4840</v>
      </c>
      <c r="C23" t="s">
        <v>4020</v>
      </c>
      <c r="D23" t="s">
        <v>4013</v>
      </c>
      <c r="E23" t="s">
        <v>3580</v>
      </c>
      <c r="F23" t="s">
        <v>4014</v>
      </c>
      <c r="G23" s="189"/>
    </row>
    <row r="24" spans="1:7" x14ac:dyDescent="0.35">
      <c r="A24" s="189" t="s">
        <v>3908</v>
      </c>
      <c r="B24" s="64">
        <f>VLOOKUP(A24,'ACS 2017 Cook Co'!$A$1:$F$388,2,FALSE) - VLOOKUP(A24,'ACS 2017 Chicago'!$A$1:$F$388,2,FALSE)</f>
        <v>11674</v>
      </c>
      <c r="C24" t="s">
        <v>4021</v>
      </c>
      <c r="D24" t="s">
        <v>4013</v>
      </c>
      <c r="E24" t="s">
        <v>3580</v>
      </c>
      <c r="F24" t="s">
        <v>4014</v>
      </c>
      <c r="G24" s="189"/>
    </row>
    <row r="25" spans="1:7" x14ac:dyDescent="0.35">
      <c r="A25" s="189" t="s">
        <v>3909</v>
      </c>
      <c r="B25" s="64">
        <f>VLOOKUP(A25,'ACS 2017 Cook Co'!$A$1:$F$388,2,FALSE) - VLOOKUP(A25,'ACS 2017 Chicago'!$A$1:$F$388,2,FALSE)</f>
        <v>779</v>
      </c>
      <c r="C25" t="s">
        <v>4022</v>
      </c>
      <c r="D25" t="s">
        <v>4013</v>
      </c>
      <c r="E25" t="s">
        <v>3580</v>
      </c>
      <c r="F25" t="s">
        <v>4014</v>
      </c>
      <c r="G25" s="189"/>
    </row>
    <row r="26" spans="1:7" x14ac:dyDescent="0.35">
      <c r="A26" s="189" t="s">
        <v>3910</v>
      </c>
      <c r="B26" s="64">
        <f>VLOOKUP(A26,'ACS 2017 Cook Co'!$A$1:$F$388,2,FALSE) - VLOOKUP(A26,'ACS 2017 Chicago'!$A$1:$F$388,2,FALSE)</f>
        <v>161203</v>
      </c>
      <c r="C26" t="s">
        <v>4023</v>
      </c>
      <c r="D26" t="s">
        <v>4013</v>
      </c>
      <c r="E26" t="s">
        <v>3580</v>
      </c>
      <c r="F26" t="s">
        <v>4014</v>
      </c>
      <c r="G26" s="189"/>
    </row>
    <row r="27" spans="1:7" x14ac:dyDescent="0.35">
      <c r="A27" s="189" t="s">
        <v>3911</v>
      </c>
      <c r="B27" s="64">
        <f>VLOOKUP(A27,'ACS 2017 Cook Co'!$A$1:$F$388,2,FALSE) - VLOOKUP(A27,'ACS 2017 Chicago'!$A$1:$F$388,2,FALSE)</f>
        <v>5931</v>
      </c>
      <c r="C27" t="s">
        <v>4024</v>
      </c>
      <c r="D27" t="s">
        <v>4013</v>
      </c>
      <c r="E27" t="s">
        <v>3580</v>
      </c>
      <c r="F27" t="s">
        <v>4014</v>
      </c>
      <c r="G27" s="189"/>
    </row>
    <row r="28" spans="1:7" x14ac:dyDescent="0.35">
      <c r="A28" s="189" t="s">
        <v>3912</v>
      </c>
      <c r="B28" s="64">
        <f>VLOOKUP(A28,'ACS 2017 Cook Co'!$A$1:$F$388,2,FALSE) - VLOOKUP(A28,'ACS 2017 Chicago'!$A$1:$F$388,2,FALSE)</f>
        <v>8230</v>
      </c>
      <c r="C28" t="s">
        <v>4025</v>
      </c>
      <c r="D28" t="s">
        <v>4013</v>
      </c>
      <c r="E28" t="s">
        <v>3580</v>
      </c>
      <c r="F28" t="s">
        <v>4014</v>
      </c>
      <c r="G28" s="189"/>
    </row>
    <row r="29" spans="1:7" x14ac:dyDescent="0.35">
      <c r="A29" s="189" t="s">
        <v>3913</v>
      </c>
      <c r="B29" s="64">
        <f>VLOOKUP(A29,'ACS 2017 Cook Co'!$A$1:$F$388,2,FALSE) - VLOOKUP(A29,'ACS 2017 Chicago'!$A$1:$F$388,2,FALSE)</f>
        <v>39651</v>
      </c>
      <c r="C29" t="s">
        <v>4026</v>
      </c>
      <c r="D29" t="s">
        <v>4013</v>
      </c>
      <c r="E29" t="s">
        <v>3580</v>
      </c>
      <c r="F29" t="s">
        <v>4014</v>
      </c>
      <c r="G29" s="189"/>
    </row>
    <row r="30" spans="1:7" x14ac:dyDescent="0.35">
      <c r="A30" s="189" t="s">
        <v>3914</v>
      </c>
      <c r="B30" s="64">
        <f>VLOOKUP(A30,'ACS 2017 Cook Co'!$A$1:$F$388,2,FALSE) - VLOOKUP(A30,'ACS 2017 Chicago'!$A$1:$F$388,2,FALSE)</f>
        <v>36470</v>
      </c>
      <c r="C30" t="s">
        <v>4027</v>
      </c>
      <c r="D30" t="s">
        <v>4013</v>
      </c>
      <c r="E30" t="s">
        <v>3580</v>
      </c>
      <c r="F30" t="s">
        <v>4014</v>
      </c>
      <c r="G30" s="189"/>
    </row>
    <row r="31" spans="1:7" x14ac:dyDescent="0.35">
      <c r="A31" s="189" t="s">
        <v>3915</v>
      </c>
      <c r="B31" s="64">
        <f>VLOOKUP(A31,'ACS 2017 Cook Co'!$A$1:$F$388,2,FALSE) - VLOOKUP(A31,'ACS 2017 Chicago'!$A$1:$F$388,2,FALSE)</f>
        <v>12842</v>
      </c>
      <c r="C31" t="s">
        <v>4028</v>
      </c>
      <c r="D31" t="s">
        <v>4013</v>
      </c>
      <c r="E31" t="s">
        <v>3580</v>
      </c>
      <c r="F31" t="s">
        <v>4014</v>
      </c>
      <c r="G31" s="189"/>
    </row>
    <row r="32" spans="1:7" x14ac:dyDescent="0.35">
      <c r="A32" s="189" t="s">
        <v>3916</v>
      </c>
      <c r="B32" s="64">
        <f>VLOOKUP(A32,'ACS 2017 Cook Co'!$A$1:$F$388,2,FALSE) - VLOOKUP(A32,'ACS 2017 Chicago'!$A$1:$F$388,2,FALSE)</f>
        <v>41898</v>
      </c>
      <c r="C32" t="s">
        <v>4029</v>
      </c>
      <c r="D32" t="s">
        <v>4013</v>
      </c>
      <c r="E32" t="s">
        <v>3580</v>
      </c>
      <c r="F32" t="s">
        <v>4014</v>
      </c>
      <c r="G32" s="189"/>
    </row>
    <row r="33" spans="1:7" x14ac:dyDescent="0.35">
      <c r="A33" s="189" t="s">
        <v>3917</v>
      </c>
      <c r="B33" s="64">
        <f>VLOOKUP(A33,'ACS 2017 Cook Co'!$A$1:$F$388,2,FALSE) - VLOOKUP(A33,'ACS 2017 Chicago'!$A$1:$F$388,2,FALSE)</f>
        <v>16181</v>
      </c>
      <c r="C33" t="s">
        <v>4030</v>
      </c>
      <c r="D33" t="s">
        <v>4013</v>
      </c>
      <c r="E33" t="s">
        <v>3580</v>
      </c>
      <c r="F33" t="s">
        <v>4014</v>
      </c>
      <c r="G33" s="189"/>
    </row>
    <row r="34" spans="1:7" x14ac:dyDescent="0.35">
      <c r="A34" s="189" t="s">
        <v>3918</v>
      </c>
      <c r="B34" s="64">
        <f>VLOOKUP(A34,'ACS 2017 Cook Co'!$A$1:$F$388,2,FALSE) - VLOOKUP(A34,'ACS 2017 Chicago'!$A$1:$F$388,2,FALSE)</f>
        <v>159048</v>
      </c>
      <c r="C34" t="s">
        <v>3623</v>
      </c>
      <c r="D34" t="s">
        <v>4013</v>
      </c>
      <c r="E34" t="s">
        <v>3580</v>
      </c>
      <c r="F34" t="s">
        <v>4014</v>
      </c>
      <c r="G34" s="189"/>
    </row>
    <row r="35" spans="1:7" x14ac:dyDescent="0.35">
      <c r="A35" s="189" t="s">
        <v>3919</v>
      </c>
      <c r="B35" s="64">
        <f>VLOOKUP(A35,'ACS 2017 Cook Co'!$A$1:$F$388,2,FALSE) - VLOOKUP(A35,'ACS 2017 Chicago'!$A$1:$F$388,2,FALSE)</f>
        <v>9205</v>
      </c>
      <c r="C35" t="s">
        <v>4031</v>
      </c>
      <c r="D35" t="s">
        <v>4013</v>
      </c>
      <c r="E35" t="s">
        <v>3580</v>
      </c>
      <c r="F35" t="s">
        <v>4014</v>
      </c>
      <c r="G35" s="189"/>
    </row>
    <row r="36" spans="1:7" x14ac:dyDescent="0.35">
      <c r="A36" s="189" t="s">
        <v>3920</v>
      </c>
      <c r="B36" s="64">
        <f>VLOOKUP(A36,'ACS 2017 Cook Co'!$A$1:$F$388,2,FALSE) - VLOOKUP(A36,'ACS 2017 Chicago'!$A$1:$F$388,2,FALSE)</f>
        <v>10143</v>
      </c>
      <c r="C36" t="s">
        <v>4032</v>
      </c>
      <c r="D36" t="s">
        <v>4013</v>
      </c>
      <c r="E36" t="s">
        <v>3580</v>
      </c>
      <c r="F36" t="s">
        <v>4014</v>
      </c>
      <c r="G36" s="189"/>
    </row>
    <row r="37" spans="1:7" x14ac:dyDescent="0.35">
      <c r="A37" s="189" t="s">
        <v>3921</v>
      </c>
      <c r="B37" s="64">
        <f>VLOOKUP(A37,'ACS 2017 Cook Co'!$A$1:$F$388,2,FALSE) - VLOOKUP(A37,'ACS 2017 Chicago'!$A$1:$F$388,2,FALSE)</f>
        <v>38830</v>
      </c>
      <c r="C37" t="s">
        <v>4033</v>
      </c>
      <c r="D37" t="s">
        <v>4013</v>
      </c>
      <c r="E37" t="s">
        <v>3580</v>
      </c>
      <c r="F37" t="s">
        <v>4014</v>
      </c>
      <c r="G37" s="189"/>
    </row>
    <row r="38" spans="1:7" x14ac:dyDescent="0.35">
      <c r="A38" s="189" t="s">
        <v>3922</v>
      </c>
      <c r="B38" s="64">
        <f>VLOOKUP(A38,'ACS 2017 Cook Co'!$A$1:$F$388,2,FALSE) - VLOOKUP(A38,'ACS 2017 Chicago'!$A$1:$F$388,2,FALSE)</f>
        <v>30069</v>
      </c>
      <c r="C38" t="s">
        <v>4034</v>
      </c>
      <c r="D38" t="s">
        <v>4013</v>
      </c>
      <c r="E38" t="s">
        <v>3580</v>
      </c>
      <c r="F38" t="s">
        <v>4014</v>
      </c>
      <c r="G38" s="189"/>
    </row>
    <row r="39" spans="1:7" x14ac:dyDescent="0.35">
      <c r="A39" s="189" t="s">
        <v>3923</v>
      </c>
      <c r="B39" s="64">
        <f>VLOOKUP(A39,'ACS 2017 Cook Co'!$A$1:$F$388,2,FALSE) - VLOOKUP(A39,'ACS 2017 Chicago'!$A$1:$F$388,2,FALSE)</f>
        <v>11072</v>
      </c>
      <c r="C39" t="s">
        <v>4035</v>
      </c>
      <c r="D39" t="s">
        <v>4013</v>
      </c>
      <c r="E39" t="s">
        <v>3580</v>
      </c>
      <c r="F39" t="s">
        <v>4014</v>
      </c>
      <c r="G39" s="189"/>
    </row>
    <row r="40" spans="1:7" x14ac:dyDescent="0.35">
      <c r="A40" s="189" t="s">
        <v>3924</v>
      </c>
      <c r="B40" s="64">
        <f>VLOOKUP(A40,'ACS 2017 Cook Co'!$A$1:$F$388,2,FALSE) - VLOOKUP(A40,'ACS 2017 Chicago'!$A$1:$F$388,2,FALSE)</f>
        <v>35660</v>
      </c>
      <c r="C40" t="s">
        <v>4036</v>
      </c>
      <c r="D40" t="s">
        <v>4013</v>
      </c>
      <c r="E40" t="s">
        <v>3580</v>
      </c>
      <c r="F40" t="s">
        <v>4014</v>
      </c>
      <c r="G40" s="189"/>
    </row>
    <row r="41" spans="1:7" x14ac:dyDescent="0.35">
      <c r="A41" s="189" t="s">
        <v>3925</v>
      </c>
      <c r="B41" s="64">
        <f>VLOOKUP(A41,'ACS 2017 Cook Co'!$A$1:$F$388,2,FALSE) - VLOOKUP(A41,'ACS 2017 Chicago'!$A$1:$F$388,2,FALSE)</f>
        <v>24069</v>
      </c>
      <c r="C41" t="s">
        <v>4037</v>
      </c>
      <c r="D41" t="s">
        <v>4013</v>
      </c>
      <c r="E41" t="s">
        <v>3580</v>
      </c>
      <c r="F41" t="s">
        <v>4014</v>
      </c>
      <c r="G41" s="189"/>
    </row>
    <row r="42" spans="1:7" x14ac:dyDescent="0.35">
      <c r="A42" s="189" t="s">
        <v>3926</v>
      </c>
      <c r="B42" s="64">
        <f>VLOOKUP(A42,'ACS 2017 Cook Co'!$A$1:$F$388,2,FALSE) - VLOOKUP(A42,'ACS 2017 Chicago'!$A$1:$F$388,2,FALSE)</f>
        <v>328708</v>
      </c>
      <c r="C42" t="s">
        <v>4038</v>
      </c>
      <c r="D42" t="s">
        <v>4013</v>
      </c>
      <c r="E42" t="s">
        <v>3580</v>
      </c>
      <c r="F42" t="s">
        <v>4014</v>
      </c>
      <c r="G42" s="189"/>
    </row>
    <row r="43" spans="1:7" x14ac:dyDescent="0.35">
      <c r="A43" s="189" t="s">
        <v>3927</v>
      </c>
      <c r="B43" s="64">
        <f>VLOOKUP(A43,'ACS 2017 Cook Co'!$A$1:$F$388,2,FALSE) - VLOOKUP(A43,'ACS 2017 Chicago'!$A$1:$F$388,2,FALSE)</f>
        <v>18822</v>
      </c>
      <c r="C43" t="s">
        <v>4039</v>
      </c>
      <c r="D43" t="s">
        <v>4013</v>
      </c>
      <c r="E43" t="s">
        <v>3580</v>
      </c>
      <c r="F43" t="s">
        <v>4014</v>
      </c>
      <c r="G43" s="189"/>
    </row>
    <row r="44" spans="1:7" x14ac:dyDescent="0.35">
      <c r="A44" s="189" t="s">
        <v>3928</v>
      </c>
      <c r="B44" s="64">
        <f>VLOOKUP(A44,'ACS 2017 Cook Co'!$A$1:$F$388,2,FALSE) - VLOOKUP(A44,'ACS 2017 Chicago'!$A$1:$F$388,2,FALSE)</f>
        <v>18230</v>
      </c>
      <c r="C44" t="s">
        <v>4040</v>
      </c>
      <c r="D44" t="s">
        <v>4013</v>
      </c>
      <c r="E44" t="s">
        <v>3580</v>
      </c>
      <c r="F44" t="s">
        <v>4014</v>
      </c>
      <c r="G44" s="189"/>
    </row>
    <row r="45" spans="1:7" x14ac:dyDescent="0.35">
      <c r="A45" s="189" t="s">
        <v>3929</v>
      </c>
      <c r="B45" s="64">
        <f>VLOOKUP(A45,'ACS 2017 Cook Co'!$A$1:$F$388,2,FALSE) - VLOOKUP(A45,'ACS 2017 Chicago'!$A$1:$F$388,2,FALSE)</f>
        <v>80558</v>
      </c>
      <c r="C45" t="s">
        <v>4041</v>
      </c>
      <c r="D45" t="s">
        <v>4013</v>
      </c>
      <c r="E45" t="s">
        <v>3580</v>
      </c>
      <c r="F45" t="s">
        <v>4014</v>
      </c>
      <c r="G45" s="189"/>
    </row>
    <row r="46" spans="1:7" x14ac:dyDescent="0.35">
      <c r="A46" s="189" t="s">
        <v>3930</v>
      </c>
      <c r="B46" s="64">
        <f>VLOOKUP(A46,'ACS 2017 Cook Co'!$A$1:$F$388,2,FALSE) - VLOOKUP(A46,'ACS 2017 Chicago'!$A$1:$F$388,2,FALSE)</f>
        <v>67490</v>
      </c>
      <c r="C46" t="s">
        <v>4042</v>
      </c>
      <c r="D46" t="s">
        <v>4013</v>
      </c>
      <c r="E46" t="s">
        <v>3580</v>
      </c>
      <c r="F46" t="s">
        <v>4014</v>
      </c>
      <c r="G46" s="189"/>
    </row>
    <row r="47" spans="1:7" x14ac:dyDescent="0.35">
      <c r="A47" s="189" t="s">
        <v>3931</v>
      </c>
      <c r="B47" s="64">
        <f>VLOOKUP(A47,'ACS 2017 Cook Co'!$A$1:$F$388,2,FALSE) - VLOOKUP(A47,'ACS 2017 Chicago'!$A$1:$F$388,2,FALSE)</f>
        <v>22821</v>
      </c>
      <c r="C47" t="s">
        <v>4043</v>
      </c>
      <c r="D47" t="s">
        <v>4013</v>
      </c>
      <c r="E47" t="s">
        <v>3580</v>
      </c>
      <c r="F47" t="s">
        <v>4014</v>
      </c>
      <c r="G47" s="189"/>
    </row>
    <row r="48" spans="1:7" x14ac:dyDescent="0.35">
      <c r="A48" s="189" t="s">
        <v>3932</v>
      </c>
      <c r="B48" s="64">
        <f>VLOOKUP(A48,'ACS 2017 Cook Co'!$A$1:$F$388,2,FALSE) - VLOOKUP(A48,'ACS 2017 Chicago'!$A$1:$F$388,2,FALSE)</f>
        <v>70152</v>
      </c>
      <c r="C48" t="s">
        <v>4044</v>
      </c>
      <c r="D48" t="s">
        <v>4013</v>
      </c>
      <c r="E48" t="s">
        <v>3580</v>
      </c>
      <c r="F48" t="s">
        <v>4014</v>
      </c>
      <c r="G48" s="189"/>
    </row>
    <row r="49" spans="1:7" x14ac:dyDescent="0.35">
      <c r="A49" s="189" t="s">
        <v>3933</v>
      </c>
      <c r="B49" s="64">
        <f>VLOOKUP(A49,'ACS 2017 Cook Co'!$A$1:$F$388,2,FALSE) - VLOOKUP(A49,'ACS 2017 Chicago'!$A$1:$F$388,2,FALSE)</f>
        <v>50635</v>
      </c>
      <c r="C49" t="s">
        <v>4045</v>
      </c>
      <c r="D49" t="s">
        <v>4013</v>
      </c>
      <c r="E49" t="s">
        <v>3580</v>
      </c>
      <c r="F49" t="s">
        <v>4014</v>
      </c>
      <c r="G49" s="189"/>
    </row>
    <row r="50" spans="1:7" x14ac:dyDescent="0.35">
      <c r="A50" s="189" t="s">
        <v>3934</v>
      </c>
      <c r="B50" s="64">
        <f>VLOOKUP(A50,'ACS 2017 Cook Co'!$A$1:$F$388,2,FALSE) - VLOOKUP(A50,'ACS 2017 Chicago'!$A$1:$F$388,2,FALSE)</f>
        <v>164615</v>
      </c>
      <c r="C50" t="s">
        <v>4046</v>
      </c>
      <c r="D50" t="s">
        <v>4013</v>
      </c>
      <c r="E50" t="s">
        <v>3580</v>
      </c>
      <c r="F50" t="s">
        <v>4014</v>
      </c>
      <c r="G50" s="189"/>
    </row>
    <row r="51" spans="1:7" x14ac:dyDescent="0.35">
      <c r="A51" s="189" t="s">
        <v>3935</v>
      </c>
      <c r="B51" s="64">
        <f>VLOOKUP(A51,'ACS 2017 Cook Co'!$A$1:$F$388,2,FALSE) - VLOOKUP(A51,'ACS 2017 Chicago'!$A$1:$F$388,2,FALSE)</f>
        <v>13021</v>
      </c>
      <c r="C51" t="s">
        <v>4047</v>
      </c>
      <c r="D51" t="s">
        <v>4013</v>
      </c>
      <c r="E51" t="s">
        <v>3580</v>
      </c>
      <c r="F51" t="s">
        <v>4014</v>
      </c>
      <c r="G51" s="189"/>
    </row>
    <row r="52" spans="1:7" x14ac:dyDescent="0.35">
      <c r="A52" s="189" t="s">
        <v>3936</v>
      </c>
      <c r="B52" s="64">
        <f>VLOOKUP(A52,'ACS 2017 Cook Co'!$A$1:$F$388,2,FALSE) - VLOOKUP(A52,'ACS 2017 Chicago'!$A$1:$F$388,2,FALSE)</f>
        <v>11612</v>
      </c>
      <c r="C52" t="s">
        <v>4048</v>
      </c>
      <c r="D52" t="s">
        <v>4013</v>
      </c>
      <c r="E52" t="s">
        <v>3580</v>
      </c>
      <c r="F52" t="s">
        <v>4014</v>
      </c>
      <c r="G52" s="189"/>
    </row>
    <row r="53" spans="1:7" x14ac:dyDescent="0.35">
      <c r="A53" s="189" t="s">
        <v>3937</v>
      </c>
      <c r="B53" s="64">
        <f>VLOOKUP(A53,'ACS 2017 Cook Co'!$A$1:$F$388,2,FALSE) - VLOOKUP(A53,'ACS 2017 Chicago'!$A$1:$F$388,2,FALSE)</f>
        <v>40374</v>
      </c>
      <c r="C53" t="s">
        <v>4049</v>
      </c>
      <c r="D53" t="s">
        <v>4013</v>
      </c>
      <c r="E53" t="s">
        <v>3580</v>
      </c>
      <c r="F53" t="s">
        <v>4014</v>
      </c>
      <c r="G53" s="189"/>
    </row>
    <row r="54" spans="1:7" x14ac:dyDescent="0.35">
      <c r="A54" s="189" t="s">
        <v>3938</v>
      </c>
      <c r="B54" s="64">
        <f>VLOOKUP(A54,'ACS 2017 Cook Co'!$A$1:$F$388,2,FALSE) - VLOOKUP(A54,'ACS 2017 Chicago'!$A$1:$F$388,2,FALSE)</f>
        <v>31817</v>
      </c>
      <c r="C54" t="s">
        <v>4050</v>
      </c>
      <c r="D54" t="s">
        <v>4013</v>
      </c>
      <c r="E54" t="s">
        <v>3580</v>
      </c>
      <c r="F54" t="s">
        <v>4014</v>
      </c>
      <c r="G54" s="189"/>
    </row>
    <row r="55" spans="1:7" x14ac:dyDescent="0.35">
      <c r="A55" s="189" t="s">
        <v>3939</v>
      </c>
      <c r="B55" s="64">
        <f>VLOOKUP(A55,'ACS 2017 Cook Co'!$A$1:$F$388,2,FALSE) - VLOOKUP(A55,'ACS 2017 Chicago'!$A$1:$F$388,2,FALSE)</f>
        <v>7891</v>
      </c>
      <c r="C55" t="s">
        <v>4051</v>
      </c>
      <c r="D55" t="s">
        <v>4013</v>
      </c>
      <c r="E55" t="s">
        <v>3580</v>
      </c>
      <c r="F55" t="s">
        <v>4014</v>
      </c>
      <c r="G55" s="189"/>
    </row>
    <row r="56" spans="1:7" x14ac:dyDescent="0.35">
      <c r="A56" s="189" t="s">
        <v>3940</v>
      </c>
      <c r="B56" s="64">
        <f>VLOOKUP(A56,'ACS 2017 Cook Co'!$A$1:$F$388,2,FALSE) - VLOOKUP(A56,'ACS 2017 Chicago'!$A$1:$F$388,2,FALSE)</f>
        <v>31027</v>
      </c>
      <c r="C56" t="s">
        <v>4052</v>
      </c>
      <c r="D56" t="s">
        <v>4013</v>
      </c>
      <c r="E56" t="s">
        <v>3580</v>
      </c>
      <c r="F56" t="s">
        <v>4014</v>
      </c>
      <c r="G56" s="189"/>
    </row>
    <row r="57" spans="1:7" x14ac:dyDescent="0.35">
      <c r="A57" s="189" t="s">
        <v>3941</v>
      </c>
      <c r="B57" s="64">
        <f>VLOOKUP(A57,'ACS 2017 Cook Co'!$A$1:$F$388,2,FALSE) - VLOOKUP(A57,'ACS 2017 Chicago'!$A$1:$F$388,2,FALSE)</f>
        <v>28873</v>
      </c>
      <c r="C57" t="s">
        <v>4053</v>
      </c>
      <c r="D57" t="s">
        <v>4013</v>
      </c>
      <c r="E57" t="s">
        <v>3580</v>
      </c>
      <c r="F57" t="s">
        <v>4014</v>
      </c>
      <c r="G57" s="189"/>
    </row>
    <row r="58" spans="1:7" x14ac:dyDescent="0.35">
      <c r="A58" s="189" t="s">
        <v>3942</v>
      </c>
      <c r="B58" s="64">
        <f>VLOOKUP(A58,'ACS 2017 Cook Co'!$A$1:$F$388,2,FALSE) - VLOOKUP(A58,'ACS 2017 Chicago'!$A$1:$F$388,2,FALSE)</f>
        <v>1009834</v>
      </c>
      <c r="C58" t="s">
        <v>3658</v>
      </c>
      <c r="D58" t="s">
        <v>4013</v>
      </c>
      <c r="E58" t="s">
        <v>3580</v>
      </c>
      <c r="F58" t="s">
        <v>4014</v>
      </c>
      <c r="G58" s="189"/>
    </row>
    <row r="59" spans="1:7" x14ac:dyDescent="0.35">
      <c r="A59" s="189" t="s">
        <v>3943</v>
      </c>
      <c r="B59" s="64">
        <f>VLOOKUP(A59,'ACS 2017 Cook Co'!$A$1:$F$388,2,FALSE) - VLOOKUP(A59,'ACS 2017 Chicago'!$A$1:$F$388,2,FALSE)</f>
        <v>98547</v>
      </c>
      <c r="C59" t="s">
        <v>4054</v>
      </c>
      <c r="D59" t="s">
        <v>4013</v>
      </c>
      <c r="E59" t="s">
        <v>3580</v>
      </c>
      <c r="F59" t="s">
        <v>4014</v>
      </c>
      <c r="G59" s="189"/>
    </row>
    <row r="60" spans="1:7" x14ac:dyDescent="0.35">
      <c r="A60" s="189" t="s">
        <v>3944</v>
      </c>
      <c r="B60" s="64">
        <f>VLOOKUP(A60,'ACS 2017 Cook Co'!$A$1:$F$388,2,FALSE) - VLOOKUP(A60,'ACS 2017 Chicago'!$A$1:$F$388,2,FALSE)</f>
        <v>1048</v>
      </c>
      <c r="C60" t="s">
        <v>4055</v>
      </c>
      <c r="D60" t="s">
        <v>4013</v>
      </c>
      <c r="E60" t="s">
        <v>3580</v>
      </c>
      <c r="F60" t="s">
        <v>4014</v>
      </c>
      <c r="G60" s="189"/>
    </row>
    <row r="61" spans="1:7" x14ac:dyDescent="0.35">
      <c r="A61" s="189" t="s">
        <v>3945</v>
      </c>
      <c r="B61" s="64">
        <f>VLOOKUP(A61,'ACS 2017 Cook Co'!$A$1:$F$388,2,FALSE) - VLOOKUP(A61,'ACS 2017 Chicago'!$A$1:$F$388,2,FALSE)</f>
        <v>8997</v>
      </c>
      <c r="C61" t="s">
        <v>4056</v>
      </c>
      <c r="D61" t="s">
        <v>4013</v>
      </c>
      <c r="E61" t="s">
        <v>3580</v>
      </c>
      <c r="F61" t="s">
        <v>4014</v>
      </c>
      <c r="G61" s="189"/>
    </row>
    <row r="62" spans="1:7" x14ac:dyDescent="0.35">
      <c r="A62" s="189" t="s">
        <v>3946</v>
      </c>
      <c r="B62" s="64">
        <f>VLOOKUP(A62,'ACS 2017 Cook Co'!$A$1:$F$388,2,FALSE) - VLOOKUP(A62,'ACS 2017 Chicago'!$A$1:$F$388,2,FALSE)</f>
        <v>25106</v>
      </c>
      <c r="C62" t="s">
        <v>4057</v>
      </c>
      <c r="D62" t="s">
        <v>4013</v>
      </c>
      <c r="E62" t="s">
        <v>3580</v>
      </c>
      <c r="F62" t="s">
        <v>4014</v>
      </c>
      <c r="G62" s="189"/>
    </row>
    <row r="63" spans="1:7" x14ac:dyDescent="0.35">
      <c r="A63" s="189" t="s">
        <v>3947</v>
      </c>
      <c r="B63" s="64">
        <f>VLOOKUP(A63,'ACS 2017 Cook Co'!$A$1:$F$388,2,FALSE) - VLOOKUP(A63,'ACS 2017 Chicago'!$A$1:$F$388,2,FALSE)</f>
        <v>41543</v>
      </c>
      <c r="C63" t="s">
        <v>4058</v>
      </c>
      <c r="D63" t="s">
        <v>4013</v>
      </c>
      <c r="E63" t="s">
        <v>3580</v>
      </c>
      <c r="F63" t="s">
        <v>4014</v>
      </c>
      <c r="G63" s="189"/>
    </row>
    <row r="64" spans="1:7" x14ac:dyDescent="0.35">
      <c r="A64" s="189" t="s">
        <v>3948</v>
      </c>
      <c r="B64" s="64">
        <f>VLOOKUP(A64,'ACS 2017 Cook Co'!$A$1:$F$388,2,FALSE) - VLOOKUP(A64,'ACS 2017 Chicago'!$A$1:$F$388,2,FALSE)</f>
        <v>6210</v>
      </c>
      <c r="C64" t="s">
        <v>4059</v>
      </c>
      <c r="D64" t="s">
        <v>4013</v>
      </c>
      <c r="E64" t="s">
        <v>3580</v>
      </c>
      <c r="F64" t="s">
        <v>4014</v>
      </c>
      <c r="G64" s="189"/>
    </row>
    <row r="65" spans="1:7" x14ac:dyDescent="0.35">
      <c r="A65" s="189" t="s">
        <v>3949</v>
      </c>
      <c r="B65" s="64">
        <f>VLOOKUP(A65,'ACS 2017 Cook Co'!$A$1:$F$388,2,FALSE) - VLOOKUP(A65,'ACS 2017 Chicago'!$A$1:$F$388,2,FALSE)</f>
        <v>14502</v>
      </c>
      <c r="C65" t="s">
        <v>4060</v>
      </c>
      <c r="D65" t="s">
        <v>4013</v>
      </c>
      <c r="E65" t="s">
        <v>3580</v>
      </c>
      <c r="F65" t="s">
        <v>4014</v>
      </c>
      <c r="G65" s="189"/>
    </row>
    <row r="66" spans="1:7" x14ac:dyDescent="0.35">
      <c r="A66" s="189" t="s">
        <v>3950</v>
      </c>
      <c r="B66" s="64">
        <f>VLOOKUP(A66,'ACS 2017 Cook Co'!$A$1:$F$388,2,FALSE) - VLOOKUP(A66,'ACS 2017 Chicago'!$A$1:$F$388,2,FALSE)</f>
        <v>1141</v>
      </c>
      <c r="C66" t="s">
        <v>4061</v>
      </c>
      <c r="D66" t="s">
        <v>4013</v>
      </c>
      <c r="E66" t="s">
        <v>3580</v>
      </c>
      <c r="F66" t="s">
        <v>4014</v>
      </c>
      <c r="G66" s="189"/>
    </row>
    <row r="67" spans="1:7" x14ac:dyDescent="0.35">
      <c r="A67" s="189" t="s">
        <v>3951</v>
      </c>
      <c r="B67" s="64">
        <f>VLOOKUP(A67,'ACS 2017 Cook Co'!$A$1:$F$388,2,FALSE) - VLOOKUP(A67,'ACS 2017 Chicago'!$A$1:$F$388,2,FALSE)</f>
        <v>158201</v>
      </c>
      <c r="C67" t="s">
        <v>4062</v>
      </c>
      <c r="D67" t="s">
        <v>4013</v>
      </c>
      <c r="E67" t="s">
        <v>3580</v>
      </c>
      <c r="F67" t="s">
        <v>4014</v>
      </c>
      <c r="G67" s="189"/>
    </row>
    <row r="68" spans="1:7" x14ac:dyDescent="0.35">
      <c r="A68" s="189" t="s">
        <v>3952</v>
      </c>
      <c r="B68" s="64">
        <f>VLOOKUP(A68,'ACS 2017 Cook Co'!$A$1:$F$388,2,FALSE) - VLOOKUP(A68,'ACS 2017 Chicago'!$A$1:$F$388,2,FALSE)</f>
        <v>4486</v>
      </c>
      <c r="C68" t="s">
        <v>4063</v>
      </c>
      <c r="D68" t="s">
        <v>4013</v>
      </c>
      <c r="E68" t="s">
        <v>3580</v>
      </c>
      <c r="F68" t="s">
        <v>4014</v>
      </c>
      <c r="G68" s="189"/>
    </row>
    <row r="69" spans="1:7" x14ac:dyDescent="0.35">
      <c r="A69" s="189" t="s">
        <v>3953</v>
      </c>
      <c r="B69" s="64">
        <f>VLOOKUP(A69,'ACS 2017 Cook Co'!$A$1:$F$388,2,FALSE) - VLOOKUP(A69,'ACS 2017 Chicago'!$A$1:$F$388,2,FALSE)</f>
        <v>5938</v>
      </c>
      <c r="C69" t="s">
        <v>4064</v>
      </c>
      <c r="D69" t="s">
        <v>4013</v>
      </c>
      <c r="E69" t="s">
        <v>3580</v>
      </c>
      <c r="F69" t="s">
        <v>4014</v>
      </c>
      <c r="G69" s="189"/>
    </row>
    <row r="70" spans="1:7" x14ac:dyDescent="0.35">
      <c r="A70" s="189" t="s">
        <v>3954</v>
      </c>
      <c r="B70" s="64">
        <f>VLOOKUP(A70,'ACS 2017 Cook Co'!$A$1:$F$388,2,FALSE) - VLOOKUP(A70,'ACS 2017 Chicago'!$A$1:$F$388,2,FALSE)</f>
        <v>28743</v>
      </c>
      <c r="C70" t="s">
        <v>4065</v>
      </c>
      <c r="D70" t="s">
        <v>4013</v>
      </c>
      <c r="E70" t="s">
        <v>3580</v>
      </c>
      <c r="F70" t="s">
        <v>4014</v>
      </c>
      <c r="G70" s="189"/>
    </row>
    <row r="71" spans="1:7" x14ac:dyDescent="0.35">
      <c r="A71" s="189" t="s">
        <v>3955</v>
      </c>
      <c r="B71" s="64">
        <f>VLOOKUP(A71,'ACS 2017 Cook Co'!$A$1:$F$388,2,FALSE) - VLOOKUP(A71,'ACS 2017 Chicago'!$A$1:$F$388,2,FALSE)</f>
        <v>32157</v>
      </c>
      <c r="C71" t="s">
        <v>4066</v>
      </c>
      <c r="D71" t="s">
        <v>4013</v>
      </c>
      <c r="E71" t="s">
        <v>3580</v>
      </c>
      <c r="F71" t="s">
        <v>4014</v>
      </c>
      <c r="G71" s="189"/>
    </row>
    <row r="72" spans="1:7" x14ac:dyDescent="0.35">
      <c r="A72" s="189" t="s">
        <v>3956</v>
      </c>
      <c r="B72" s="64">
        <f>VLOOKUP(A72,'ACS 2017 Cook Co'!$A$1:$F$388,2,FALSE) - VLOOKUP(A72,'ACS 2017 Chicago'!$A$1:$F$388,2,FALSE)</f>
        <v>14408</v>
      </c>
      <c r="C72" t="s">
        <v>4067</v>
      </c>
      <c r="D72" t="s">
        <v>4013</v>
      </c>
      <c r="E72" t="s">
        <v>3580</v>
      </c>
      <c r="F72" t="s">
        <v>4014</v>
      </c>
      <c r="G72" s="189"/>
    </row>
    <row r="73" spans="1:7" x14ac:dyDescent="0.35">
      <c r="A73" s="189" t="s">
        <v>3957</v>
      </c>
      <c r="B73" s="64">
        <f>VLOOKUP(A73,'ACS 2017 Cook Co'!$A$1:$F$388,2,FALSE) - VLOOKUP(A73,'ACS 2017 Chicago'!$A$1:$F$388,2,FALSE)</f>
        <v>47034</v>
      </c>
      <c r="C73" t="s">
        <v>4068</v>
      </c>
      <c r="D73" t="s">
        <v>4013</v>
      </c>
      <c r="E73" t="s">
        <v>3580</v>
      </c>
      <c r="F73" t="s">
        <v>4014</v>
      </c>
      <c r="G73" s="189"/>
    </row>
    <row r="74" spans="1:7" x14ac:dyDescent="0.35">
      <c r="A74" s="189" t="s">
        <v>3958</v>
      </c>
      <c r="B74" s="64">
        <f>VLOOKUP(A74,'ACS 2017 Cook Co'!$A$1:$F$388,2,FALSE) - VLOOKUP(A74,'ACS 2017 Chicago'!$A$1:$F$388,2,FALSE)</f>
        <v>25435</v>
      </c>
      <c r="C74" t="s">
        <v>4069</v>
      </c>
      <c r="D74" t="s">
        <v>4013</v>
      </c>
      <c r="E74" t="s">
        <v>3580</v>
      </c>
      <c r="F74" t="s">
        <v>4014</v>
      </c>
      <c r="G74" s="189"/>
    </row>
    <row r="75" spans="1:7" x14ac:dyDescent="0.35">
      <c r="A75" s="189" t="s">
        <v>3959</v>
      </c>
      <c r="B75" s="64">
        <f>VLOOKUP(A75,'ACS 2017 Cook Co'!$A$1:$F$388,2,FALSE) - VLOOKUP(A75,'ACS 2017 Chicago'!$A$1:$F$388,2,FALSE)</f>
        <v>166989</v>
      </c>
      <c r="C75" t="s">
        <v>3694</v>
      </c>
      <c r="D75" t="s">
        <v>4013</v>
      </c>
      <c r="E75" t="s">
        <v>3580</v>
      </c>
      <c r="F75" t="s">
        <v>4014</v>
      </c>
      <c r="G75" s="189"/>
    </row>
    <row r="76" spans="1:7" x14ac:dyDescent="0.35">
      <c r="A76" s="189" t="s">
        <v>3960</v>
      </c>
      <c r="B76" s="64">
        <f>VLOOKUP(A76,'ACS 2017 Cook Co'!$A$1:$F$388,2,FALSE) - VLOOKUP(A76,'ACS 2017 Chicago'!$A$1:$F$388,2,FALSE)</f>
        <v>8742</v>
      </c>
      <c r="C76" t="s">
        <v>4070</v>
      </c>
      <c r="D76" t="s">
        <v>4013</v>
      </c>
      <c r="E76" t="s">
        <v>3580</v>
      </c>
      <c r="F76" t="s">
        <v>4014</v>
      </c>
      <c r="G76" s="189"/>
    </row>
    <row r="77" spans="1:7" x14ac:dyDescent="0.35">
      <c r="A77" s="189" t="s">
        <v>3961</v>
      </c>
      <c r="B77" s="64">
        <f>VLOOKUP(A77,'ACS 2017 Cook Co'!$A$1:$F$388,2,FALSE) - VLOOKUP(A77,'ACS 2017 Chicago'!$A$1:$F$388,2,FALSE)</f>
        <v>7638</v>
      </c>
      <c r="C77" t="s">
        <v>4071</v>
      </c>
      <c r="D77" t="s">
        <v>4013</v>
      </c>
      <c r="E77" t="s">
        <v>3580</v>
      </c>
      <c r="F77" t="s">
        <v>4014</v>
      </c>
      <c r="G77" s="189"/>
    </row>
    <row r="78" spans="1:7" x14ac:dyDescent="0.35">
      <c r="A78" s="189" t="s">
        <v>3962</v>
      </c>
      <c r="B78" s="64">
        <f>VLOOKUP(A78,'ACS 2017 Cook Co'!$A$1:$F$388,2,FALSE) - VLOOKUP(A78,'ACS 2017 Chicago'!$A$1:$F$388,2,FALSE)</f>
        <v>31511</v>
      </c>
      <c r="C78" t="s">
        <v>4072</v>
      </c>
      <c r="D78" t="s">
        <v>4013</v>
      </c>
      <c r="E78" t="s">
        <v>3580</v>
      </c>
      <c r="F78" t="s">
        <v>4014</v>
      </c>
      <c r="G78" s="189"/>
    </row>
    <row r="79" spans="1:7" x14ac:dyDescent="0.35">
      <c r="A79" s="189" t="s">
        <v>3963</v>
      </c>
      <c r="B79" s="64">
        <f>VLOOKUP(A79,'ACS 2017 Cook Co'!$A$1:$F$388,2,FALSE) - VLOOKUP(A79,'ACS 2017 Chicago'!$A$1:$F$388,2,FALSE)</f>
        <v>31940</v>
      </c>
      <c r="C79" t="s">
        <v>4073</v>
      </c>
      <c r="D79" t="s">
        <v>4013</v>
      </c>
      <c r="E79" t="s">
        <v>3580</v>
      </c>
      <c r="F79" t="s">
        <v>4014</v>
      </c>
      <c r="G79" s="189"/>
    </row>
    <row r="80" spans="1:7" x14ac:dyDescent="0.35">
      <c r="A80" s="189" t="s">
        <v>3964</v>
      </c>
      <c r="B80" s="64">
        <f>VLOOKUP(A80,'ACS 2017 Cook Co'!$A$1:$F$388,2,FALSE) - VLOOKUP(A80,'ACS 2017 Chicago'!$A$1:$F$388,2,FALSE)</f>
        <v>14510</v>
      </c>
      <c r="C80" t="s">
        <v>4074</v>
      </c>
      <c r="D80" t="s">
        <v>4013</v>
      </c>
      <c r="E80" t="s">
        <v>3580</v>
      </c>
      <c r="F80" t="s">
        <v>4014</v>
      </c>
      <c r="G80" s="189"/>
    </row>
    <row r="81" spans="1:7" x14ac:dyDescent="0.35">
      <c r="A81" s="189" t="s">
        <v>3965</v>
      </c>
      <c r="B81" s="64">
        <f>VLOOKUP(A81,'ACS 2017 Cook Co'!$A$1:$F$388,2,FALSE) - VLOOKUP(A81,'ACS 2017 Chicago'!$A$1:$F$388,2,FALSE)</f>
        <v>41445</v>
      </c>
      <c r="C81" t="s">
        <v>4075</v>
      </c>
      <c r="D81" t="s">
        <v>4013</v>
      </c>
      <c r="E81" t="s">
        <v>3580</v>
      </c>
      <c r="F81" t="s">
        <v>4014</v>
      </c>
      <c r="G81" s="189"/>
    </row>
    <row r="82" spans="1:7" x14ac:dyDescent="0.35">
      <c r="A82" s="189" t="s">
        <v>3966</v>
      </c>
      <c r="B82" s="64">
        <f>VLOOKUP(A82,'ACS 2017 Cook Co'!$A$1:$F$388,2,FALSE) - VLOOKUP(A82,'ACS 2017 Chicago'!$A$1:$F$388,2,FALSE)</f>
        <v>31203</v>
      </c>
      <c r="C82" t="s">
        <v>4076</v>
      </c>
      <c r="D82" t="s">
        <v>4013</v>
      </c>
      <c r="E82" t="s">
        <v>3580</v>
      </c>
      <c r="F82" t="s">
        <v>4014</v>
      </c>
      <c r="G82" s="189"/>
    </row>
    <row r="83" spans="1:7" x14ac:dyDescent="0.35">
      <c r="A83" s="189" t="s">
        <v>3967</v>
      </c>
      <c r="B83" s="64">
        <f>VLOOKUP(A83,'ACS 2017 Cook Co'!$A$1:$F$388,2,FALSE) - VLOOKUP(A83,'ACS 2017 Chicago'!$A$1:$F$388,2,FALSE)</f>
        <v>359668</v>
      </c>
      <c r="C83" t="s">
        <v>4077</v>
      </c>
      <c r="D83" t="s">
        <v>4013</v>
      </c>
      <c r="E83" t="s">
        <v>3580</v>
      </c>
      <c r="F83" t="s">
        <v>4014</v>
      </c>
      <c r="G83" s="189"/>
    </row>
    <row r="84" spans="1:7" x14ac:dyDescent="0.35">
      <c r="A84" s="189" t="s">
        <v>3968</v>
      </c>
      <c r="B84" s="64">
        <f>VLOOKUP(A84,'ACS 2017 Cook Co'!$A$1:$F$388,2,FALSE) - VLOOKUP(A84,'ACS 2017 Chicago'!$A$1:$F$388,2,FALSE)</f>
        <v>18069</v>
      </c>
      <c r="C84" t="s">
        <v>4078</v>
      </c>
      <c r="D84" t="s">
        <v>4013</v>
      </c>
      <c r="E84" t="s">
        <v>3580</v>
      </c>
      <c r="F84" t="s">
        <v>4014</v>
      </c>
      <c r="G84" s="189"/>
    </row>
    <row r="85" spans="1:7" x14ac:dyDescent="0.35">
      <c r="A85" s="189" t="s">
        <v>3969</v>
      </c>
      <c r="B85" s="64">
        <f>VLOOKUP(A85,'ACS 2017 Cook Co'!$A$1:$F$388,2,FALSE) - VLOOKUP(A85,'ACS 2017 Chicago'!$A$1:$F$388,2,FALSE)</f>
        <v>15882</v>
      </c>
      <c r="C85" t="s">
        <v>4079</v>
      </c>
      <c r="D85" t="s">
        <v>4013</v>
      </c>
      <c r="E85" t="s">
        <v>3580</v>
      </c>
      <c r="F85" t="s">
        <v>4014</v>
      </c>
      <c r="G85" s="189"/>
    </row>
    <row r="86" spans="1:7" x14ac:dyDescent="0.35">
      <c r="A86" s="189" t="s">
        <v>3970</v>
      </c>
      <c r="B86" s="64">
        <f>VLOOKUP(A86,'ACS 2017 Cook Co'!$A$1:$F$388,2,FALSE) - VLOOKUP(A86,'ACS 2017 Chicago'!$A$1:$F$388,2,FALSE)</f>
        <v>81852</v>
      </c>
      <c r="C86" t="s">
        <v>4080</v>
      </c>
      <c r="D86" t="s">
        <v>4013</v>
      </c>
      <c r="E86" t="s">
        <v>3580</v>
      </c>
      <c r="F86" t="s">
        <v>4014</v>
      </c>
      <c r="G86" s="189"/>
    </row>
    <row r="87" spans="1:7" x14ac:dyDescent="0.35">
      <c r="A87" s="189" t="s">
        <v>3971</v>
      </c>
      <c r="B87" s="64">
        <f>VLOOKUP(A87,'ACS 2017 Cook Co'!$A$1:$F$388,2,FALSE) - VLOOKUP(A87,'ACS 2017 Chicago'!$A$1:$F$388,2,FALSE)</f>
        <v>75257</v>
      </c>
      <c r="C87" t="s">
        <v>4081</v>
      </c>
      <c r="D87" t="s">
        <v>4013</v>
      </c>
      <c r="E87" t="s">
        <v>3580</v>
      </c>
      <c r="F87" t="s">
        <v>4014</v>
      </c>
      <c r="G87" s="189"/>
    </row>
    <row r="88" spans="1:7" x14ac:dyDescent="0.35">
      <c r="A88" s="189" t="s">
        <v>3972</v>
      </c>
      <c r="B88" s="64">
        <f>VLOOKUP(A88,'ACS 2017 Cook Co'!$A$1:$F$388,2,FALSE) - VLOOKUP(A88,'ACS 2017 Chicago'!$A$1:$F$388,2,FALSE)</f>
        <v>32968</v>
      </c>
      <c r="C88" t="s">
        <v>4082</v>
      </c>
      <c r="D88" t="s">
        <v>4013</v>
      </c>
      <c r="E88" t="s">
        <v>3580</v>
      </c>
      <c r="F88" t="s">
        <v>4014</v>
      </c>
      <c r="G88" s="189"/>
    </row>
    <row r="89" spans="1:7" x14ac:dyDescent="0.35">
      <c r="A89" s="189" t="s">
        <v>3973</v>
      </c>
      <c r="B89" s="64">
        <f>VLOOKUP(A89,'ACS 2017 Cook Co'!$A$1:$F$388,2,FALSE) - VLOOKUP(A89,'ACS 2017 Chicago'!$A$1:$F$388,2,FALSE)</f>
        <v>81596</v>
      </c>
      <c r="C89" t="s">
        <v>4083</v>
      </c>
      <c r="D89" t="s">
        <v>4013</v>
      </c>
      <c r="E89" t="s">
        <v>3580</v>
      </c>
      <c r="F89" t="s">
        <v>4014</v>
      </c>
      <c r="G89" s="189"/>
    </row>
    <row r="90" spans="1:7" x14ac:dyDescent="0.35">
      <c r="A90" s="189" t="s">
        <v>3974</v>
      </c>
      <c r="B90" s="64">
        <f>VLOOKUP(A90,'ACS 2017 Cook Co'!$A$1:$F$388,2,FALSE) - VLOOKUP(A90,'ACS 2017 Chicago'!$A$1:$F$388,2,FALSE)</f>
        <v>54044</v>
      </c>
      <c r="C90" t="s">
        <v>4084</v>
      </c>
      <c r="D90" t="s">
        <v>4013</v>
      </c>
      <c r="E90" t="s">
        <v>3580</v>
      </c>
      <c r="F90" t="s">
        <v>4014</v>
      </c>
      <c r="G90" s="189"/>
    </row>
    <row r="91" spans="1:7" x14ac:dyDescent="0.35">
      <c r="A91" s="189" t="s">
        <v>3975</v>
      </c>
      <c r="B91" s="64">
        <f>VLOOKUP(A91,'ACS 2017 Cook Co'!$A$1:$F$388,2,FALSE) - VLOOKUP(A91,'ACS 2017 Chicago'!$A$1:$F$388,2,FALSE)</f>
        <v>226429</v>
      </c>
      <c r="C91" t="s">
        <v>4085</v>
      </c>
      <c r="D91" t="s">
        <v>4013</v>
      </c>
      <c r="E91" t="s">
        <v>3580</v>
      </c>
      <c r="F91" t="s">
        <v>4014</v>
      </c>
      <c r="G91" s="189"/>
    </row>
    <row r="92" spans="1:7" x14ac:dyDescent="0.35">
      <c r="A92" s="189" t="s">
        <v>3976</v>
      </c>
      <c r="B92" s="64">
        <f>VLOOKUP(A92,'ACS 2017 Cook Co'!$A$1:$F$388,2,FALSE) - VLOOKUP(A92,'ACS 2017 Chicago'!$A$1:$F$388,2,FALSE)</f>
        <v>20316</v>
      </c>
      <c r="C92" t="s">
        <v>4086</v>
      </c>
      <c r="D92" t="s">
        <v>4013</v>
      </c>
      <c r="E92" t="s">
        <v>3580</v>
      </c>
      <c r="F92" t="s">
        <v>4014</v>
      </c>
      <c r="G92" s="189"/>
    </row>
    <row r="93" spans="1:7" x14ac:dyDescent="0.35">
      <c r="A93" s="189" t="s">
        <v>3977</v>
      </c>
      <c r="B93" s="64">
        <f>VLOOKUP(A93,'ACS 2017 Cook Co'!$A$1:$F$388,2,FALSE) - VLOOKUP(A93,'ACS 2017 Chicago'!$A$1:$F$388,2,FALSE)</f>
        <v>17750</v>
      </c>
      <c r="C93" t="s">
        <v>4087</v>
      </c>
      <c r="D93" t="s">
        <v>4013</v>
      </c>
      <c r="E93" t="s">
        <v>3580</v>
      </c>
      <c r="F93" t="s">
        <v>4014</v>
      </c>
      <c r="G93" s="189"/>
    </row>
    <row r="94" spans="1:7" x14ac:dyDescent="0.35">
      <c r="A94" s="189" t="s">
        <v>3978</v>
      </c>
      <c r="B94" s="64">
        <f>VLOOKUP(A94,'ACS 2017 Cook Co'!$A$1:$F$388,2,FALSE) - VLOOKUP(A94,'ACS 2017 Chicago'!$A$1:$F$388,2,FALSE)</f>
        <v>75169</v>
      </c>
      <c r="C94" t="s">
        <v>4088</v>
      </c>
      <c r="D94" t="s">
        <v>4013</v>
      </c>
      <c r="E94" t="s">
        <v>3580</v>
      </c>
      <c r="F94" t="s">
        <v>4014</v>
      </c>
      <c r="G94" s="189"/>
    </row>
    <row r="95" spans="1:7" x14ac:dyDescent="0.35">
      <c r="A95" s="189" t="s">
        <v>3979</v>
      </c>
      <c r="B95" s="64">
        <f>VLOOKUP(A95,'ACS 2017 Cook Co'!$A$1:$F$388,2,FALSE) - VLOOKUP(A95,'ACS 2017 Chicago'!$A$1:$F$388,2,FALSE)</f>
        <v>44805</v>
      </c>
      <c r="C95" t="s">
        <v>4089</v>
      </c>
      <c r="D95" t="s">
        <v>4013</v>
      </c>
      <c r="E95" t="s">
        <v>3580</v>
      </c>
      <c r="F95" t="s">
        <v>4014</v>
      </c>
      <c r="G95" s="189"/>
    </row>
    <row r="96" spans="1:7" x14ac:dyDescent="0.35">
      <c r="A96" s="189" t="s">
        <v>3980</v>
      </c>
      <c r="B96" s="64">
        <f>VLOOKUP(A96,'ACS 2017 Cook Co'!$A$1:$F$388,2,FALSE) - VLOOKUP(A96,'ACS 2017 Chicago'!$A$1:$F$388,2,FALSE)</f>
        <v>11266</v>
      </c>
      <c r="C96" t="s">
        <v>4090</v>
      </c>
      <c r="D96" t="s">
        <v>4013</v>
      </c>
      <c r="E96" t="s">
        <v>3580</v>
      </c>
      <c r="F96" t="s">
        <v>4014</v>
      </c>
      <c r="G96" s="189"/>
    </row>
    <row r="97" spans="1:7" x14ac:dyDescent="0.35">
      <c r="A97" s="189" t="s">
        <v>3981</v>
      </c>
      <c r="B97" s="64">
        <f>VLOOKUP(A97,'ACS 2017 Cook Co'!$A$1:$F$388,2,FALSE) - VLOOKUP(A97,'ACS 2017 Chicago'!$A$1:$F$388,2,FALSE)</f>
        <v>33798</v>
      </c>
      <c r="C97" t="s">
        <v>4091</v>
      </c>
      <c r="D97" t="s">
        <v>4013</v>
      </c>
      <c r="E97" t="s">
        <v>3580</v>
      </c>
      <c r="F97" t="s">
        <v>4014</v>
      </c>
      <c r="G97" s="189"/>
    </row>
    <row r="98" spans="1:7" x14ac:dyDescent="0.35">
      <c r="A98" s="189" t="s">
        <v>3982</v>
      </c>
      <c r="B98" s="64">
        <f>VLOOKUP(A98,'ACS 2017 Cook Co'!$A$1:$F$388,2,FALSE) - VLOOKUP(A98,'ACS 2017 Chicago'!$A$1:$F$388,2,FALSE)</f>
        <v>23325</v>
      </c>
      <c r="C98" t="s">
        <v>4092</v>
      </c>
      <c r="D98" t="s">
        <v>4013</v>
      </c>
      <c r="E98" t="s">
        <v>3580</v>
      </c>
      <c r="F98" t="s">
        <v>4014</v>
      </c>
      <c r="G98" s="189"/>
    </row>
    <row r="99" spans="1:7" x14ac:dyDescent="0.35">
      <c r="A99" s="189" t="s">
        <v>3338</v>
      </c>
      <c r="B99" s="64">
        <f>((VLOOKUP(A99,'ACS 2017 Cook Co'!$A$1:$F$388,2,FALSE) * VLOOKUP("b25036_001",'ACS 2017 Cook Co'!$A$1:$F$388,2,FALSE) - VLOOKUP(A99,'ACS 2017 Chicago'!$A$1:$F$388,2,FALSE) * VLOOKUP("b25036_001",'ACS 2017 Chicago'!$A$1:$F$388,2,FALSE))) / (VLOOKUP("b25036_001",'ACS 2017 Cook Co'!$A$1:$F$388,2,FALSE) - VLOOKUP("b25036_001",'ACS 2017 Chicago'!$A$1:$F$388,2,FALSE))</f>
        <v>67398.548046103853</v>
      </c>
      <c r="C99" t="s">
        <v>3582</v>
      </c>
      <c r="D99" t="s">
        <v>3583</v>
      </c>
      <c r="E99" t="s">
        <v>3580</v>
      </c>
      <c r="F99" t="s">
        <v>3584</v>
      </c>
      <c r="G99" s="189"/>
    </row>
    <row r="100" spans="1:7" x14ac:dyDescent="0.35">
      <c r="A100" s="189" t="s">
        <v>4093</v>
      </c>
      <c r="B100" s="64">
        <f>((VLOOKUP(A100,'ACS 2017 Cook Co'!$A$1:$F$388,2,FALSE) * VLOOKUP("b23006_001",'ACS 2017 Cook Co'!$A$1:$F$388,2,FALSE) - VLOOKUP(A100,'ACS 2017 Chicago'!$A$1:$F$388,2,FALSE) * VLOOKUP("b23006_001",'ACS 2017 Chicago'!$A$1:$F$388,2,FALSE))) / (VLOOKUP("b23006_001",'ACS 2017 Cook Co'!$A$1:$F$388,2,FALSE) - VLOOKUP("b23006_001",'ACS 2017 Chicago'!$A$1:$F$388,2,FALSE))</f>
        <v>42142.060877166805</v>
      </c>
      <c r="C100" t="s">
        <v>26</v>
      </c>
      <c r="D100" t="s">
        <v>4111</v>
      </c>
      <c r="E100" t="s">
        <v>3580</v>
      </c>
      <c r="F100" t="s">
        <v>4112</v>
      </c>
      <c r="G100" s="189"/>
    </row>
    <row r="101" spans="1:7" x14ac:dyDescent="0.35">
      <c r="A101" s="189" t="s">
        <v>4094</v>
      </c>
      <c r="B101" s="64">
        <f>((VLOOKUP(A101,'ACS 2017 Cook Co'!$A$1:$F$388,2,FALSE) * VLOOKUP("b23006_002",'ACS 2017 Cook Co'!$A$1:$F$388,2,FALSE) - VLOOKUP(A101,'ACS 2017 Chicago'!$A$1:$F$388,2,FALSE) * VLOOKUP("b23006_002",'ACS 2017 Chicago'!$A$1:$F$388,2,FALSE))) / (VLOOKUP("b23006_002",'ACS 2017 Cook Co'!$A$1:$F$388,2,FALSE) - VLOOKUP("b23006_002",'ACS 2017 Chicago'!$A$1:$F$388,2,FALSE))</f>
        <v>24589.604496024855</v>
      </c>
      <c r="C101" t="s">
        <v>3985</v>
      </c>
      <c r="D101" t="s">
        <v>4111</v>
      </c>
      <c r="E101" t="s">
        <v>3580</v>
      </c>
      <c r="F101" t="s">
        <v>4112</v>
      </c>
      <c r="G101" s="189"/>
    </row>
    <row r="102" spans="1:7" x14ac:dyDescent="0.35">
      <c r="A102" s="189" t="s">
        <v>4095</v>
      </c>
      <c r="B102" s="64">
        <f>((VLOOKUP(A102,'ACS 2017 Cook Co'!$A$1:$F$388,2,FALSE) * VLOOKUP("b23006_009",'ACS 2017 Cook Co'!$A$1:$F$388,2,FALSE) - VLOOKUP(A102,'ACS 2017 Chicago'!$A$1:$F$388,2,FALSE) * VLOOKUP("b23006_009",'ACS 2017 Chicago'!$A$1:$F$388,2,FALSE))) / (VLOOKUP("b23006_009",'ACS 2017 Cook Co'!$A$1:$F$388,2,FALSE) - VLOOKUP("b23006_009",'ACS 2017 Chicago'!$A$1:$F$388,2,FALSE))</f>
        <v>32664.020000332064</v>
      </c>
      <c r="C102" t="s">
        <v>3992</v>
      </c>
      <c r="D102" t="s">
        <v>4111</v>
      </c>
      <c r="E102" t="s">
        <v>3580</v>
      </c>
      <c r="F102" t="s">
        <v>4112</v>
      </c>
      <c r="G102" s="189"/>
    </row>
    <row r="103" spans="1:7" x14ac:dyDescent="0.35">
      <c r="A103" s="189" t="s">
        <v>4096</v>
      </c>
      <c r="B103" s="64">
        <f>((VLOOKUP(A103,'ACS 2017 Cook Co'!$A$1:$F$388,2,FALSE) * VLOOKUP("b23006_016",'ACS 2017 Cook Co'!$A$1:$F$388,2,FALSE) - VLOOKUP(A103,'ACS 2017 Chicago'!$A$1:$F$388,2,FALSE) * VLOOKUP("b23006_016",'ACS 2017 Chicago'!$A$1:$F$388,2,FALSE))) / (VLOOKUP("b23006_016",'ACS 2017 Cook Co'!$A$1:$F$388,2,FALSE) - VLOOKUP("b23006_016",'ACS 2017 Chicago'!$A$1:$F$388,2,FALSE))</f>
        <v>38393.441471817052</v>
      </c>
      <c r="C103" t="s">
        <v>3999</v>
      </c>
      <c r="D103" t="s">
        <v>4111</v>
      </c>
      <c r="E103" t="s">
        <v>3580</v>
      </c>
      <c r="F103" t="s">
        <v>4112</v>
      </c>
      <c r="G103" s="189"/>
    </row>
    <row r="104" spans="1:7" x14ac:dyDescent="0.35">
      <c r="A104" s="189" t="s">
        <v>4097</v>
      </c>
      <c r="B104" s="64">
        <f>((VLOOKUP(A104,'ACS 2017 Cook Co'!$A$1:$F$388,2,FALSE) * VLOOKUP("b23006_023",'ACS 2017 Cook Co'!$A$1:$F$388,2,FALSE) - VLOOKUP(A104,'ACS 2017 Chicago'!$A$1:$F$388,2,FALSE) * VLOOKUP("b23006_023",'ACS 2017 Chicago'!$A$1:$F$388,2,FALSE))) / (VLOOKUP("b23006_023",'ACS 2017 Cook Co'!$A$1:$F$388,2,FALSE) - VLOOKUP("b23006_023",'ACS 2017 Chicago'!$A$1:$F$388,2,FALSE))</f>
        <v>54204.250704724349</v>
      </c>
      <c r="C104" t="s">
        <v>4113</v>
      </c>
      <c r="D104" t="s">
        <v>4111</v>
      </c>
      <c r="E104" t="s">
        <v>3580</v>
      </c>
      <c r="F104" t="s">
        <v>4112</v>
      </c>
      <c r="G104" s="189"/>
    </row>
    <row r="105" spans="1:7" x14ac:dyDescent="0.35">
      <c r="A105" s="189" t="s">
        <v>4098</v>
      </c>
      <c r="B105" s="64">
        <f>((VLOOKUP(A105,'ACS 2017 Cook Co'!$A$1:$F$388,2,FALSE) * VLOOKUP("b23006_023",'ACS 2017 Cook Co'!$A$1:$F$388,2,FALSE) - VLOOKUP(A105,'ACS 2017 Chicago'!$A$1:$F$388,2,FALSE) * VLOOKUP("b23006_023",'ACS 2017 Chicago'!$A$1:$F$388,2,FALSE))) / (VLOOKUP("b23006_023",'ACS 2017 Cook Co'!$A$1:$F$388,2,FALSE) - VLOOKUP("b23006_023",'ACS 2017 Chicago'!$A$1:$F$388,2,FALSE))</f>
        <v>74416.027187726242</v>
      </c>
      <c r="C105" t="s">
        <v>4114</v>
      </c>
      <c r="D105" t="s">
        <v>4111</v>
      </c>
      <c r="E105" t="s">
        <v>3580</v>
      </c>
      <c r="F105" t="s">
        <v>4112</v>
      </c>
      <c r="G105" s="189"/>
    </row>
    <row r="106" spans="1:7" x14ac:dyDescent="0.35">
      <c r="A106" s="189" t="s">
        <v>4099</v>
      </c>
      <c r="B106" s="64">
        <f>((VLOOKUP(A106,'ACS 2017 Cook Co'!$A$1:$F$388,2,FALSE) * VLOOKUP("b23006_001",'ACS 2017 Cook Co'!$A$1:$F$388,2,FALSE) - VLOOKUP(A106,'ACS 2017 Chicago'!$A$1:$F$388,2,FALSE) * VLOOKUP("b23006_001",'ACS 2017 Chicago'!$A$1:$F$388,2,FALSE))) / (VLOOKUP("b23006_001",'ACS 2017 Cook Co'!$A$1:$F$388,2,FALSE) - VLOOKUP("b23006_001",'ACS 2017 Chicago'!$A$1:$F$388,2,FALSE))</f>
        <v>50725.496976721697</v>
      </c>
      <c r="C106" t="s">
        <v>3587</v>
      </c>
      <c r="D106" t="s">
        <v>4111</v>
      </c>
      <c r="E106" t="s">
        <v>3580</v>
      </c>
      <c r="F106" t="s">
        <v>4112</v>
      </c>
      <c r="G106" s="189"/>
    </row>
    <row r="107" spans="1:7" x14ac:dyDescent="0.35">
      <c r="A107" s="189" t="s">
        <v>4100</v>
      </c>
      <c r="B107" s="64">
        <f>((VLOOKUP(A107,'ACS 2017 Cook Co'!$A$1:$F$388,2,FALSE) * VLOOKUP("b23006_002",'ACS 2017 Cook Co'!$A$1:$F$388,2,FALSE) - VLOOKUP(A107,'ACS 2017 Chicago'!$A$1:$F$388,2,FALSE) * VLOOKUP("b23006_002",'ACS 2017 Chicago'!$A$1:$F$388,2,FALSE))) / (VLOOKUP("b23006_002",'ACS 2017 Cook Co'!$A$1:$F$388,2,FALSE) - VLOOKUP("b23006_002",'ACS 2017 Chicago'!$A$1:$F$388,2,FALSE))</f>
        <v>28262.765740656127</v>
      </c>
      <c r="C107" t="s">
        <v>4115</v>
      </c>
      <c r="D107" t="s">
        <v>4111</v>
      </c>
      <c r="E107" t="s">
        <v>3580</v>
      </c>
      <c r="F107" t="s">
        <v>4112</v>
      </c>
      <c r="G107" s="189"/>
    </row>
    <row r="108" spans="1:7" x14ac:dyDescent="0.35">
      <c r="A108" s="189" t="s">
        <v>4101</v>
      </c>
      <c r="B108" s="64">
        <f>((VLOOKUP(A108,'ACS 2017 Cook Co'!$A$1:$F$388,2,FALSE) * VLOOKUP("b23006_009",'ACS 2017 Cook Co'!$A$1:$F$388,2,FALSE) - VLOOKUP(A108,'ACS 2017 Chicago'!$A$1:$F$388,2,FALSE) * VLOOKUP("b23006_009",'ACS 2017 Chicago'!$A$1:$F$388,2,FALSE))) / (VLOOKUP("b23006_009",'ACS 2017 Cook Co'!$A$1:$F$388,2,FALSE) - VLOOKUP("b23006_009",'ACS 2017 Chicago'!$A$1:$F$388,2,FALSE))</f>
        <v>35384.653568878777</v>
      </c>
      <c r="C108" t="s">
        <v>4116</v>
      </c>
      <c r="D108" t="s">
        <v>4111</v>
      </c>
      <c r="E108" t="s">
        <v>3580</v>
      </c>
      <c r="F108" t="s">
        <v>4112</v>
      </c>
      <c r="G108" s="189"/>
    </row>
    <row r="109" spans="1:7" x14ac:dyDescent="0.35">
      <c r="A109" s="189" t="s">
        <v>4102</v>
      </c>
      <c r="B109" s="64">
        <f>((VLOOKUP(A109,'ACS 2017 Cook Co'!$A$1:$F$388,2,FALSE) * VLOOKUP("b23006_016",'ACS 2017 Cook Co'!$A$1:$F$388,2,FALSE) - VLOOKUP(A109,'ACS 2017 Chicago'!$A$1:$F$388,2,FALSE) * VLOOKUP("b23006_016",'ACS 2017 Chicago'!$A$1:$F$388,2,FALSE))) / (VLOOKUP("b23006_016",'ACS 2017 Cook Co'!$A$1:$F$388,2,FALSE) - VLOOKUP("b23006_016",'ACS 2017 Chicago'!$A$1:$F$388,2,FALSE))</f>
        <v>45843.347849760736</v>
      </c>
      <c r="C109" t="s">
        <v>4117</v>
      </c>
      <c r="D109" t="s">
        <v>4111</v>
      </c>
      <c r="E109" t="s">
        <v>3580</v>
      </c>
      <c r="F109" t="s">
        <v>4112</v>
      </c>
      <c r="G109" s="189"/>
    </row>
    <row r="110" spans="1:7" x14ac:dyDescent="0.35">
      <c r="A110" s="189" t="s">
        <v>4103</v>
      </c>
      <c r="B110" s="64">
        <f>((VLOOKUP(A110,'ACS 2017 Cook Co'!$A$1:$F$388,2,FALSE) * VLOOKUP("b23006_023",'ACS 2017 Cook Co'!$A$1:$F$388,2,FALSE) - VLOOKUP(A110,'ACS 2017 Chicago'!$A$1:$F$388,2,FALSE) * VLOOKUP("b23006_023",'ACS 2017 Chicago'!$A$1:$F$388,2,FALSE))) / (VLOOKUP("b23006_023",'ACS 2017 Cook Co'!$A$1:$F$388,2,FALSE) - VLOOKUP("b23006_023",'ACS 2017 Chicago'!$A$1:$F$388,2,FALSE))</f>
        <v>66029.09742910396</v>
      </c>
      <c r="C110" t="s">
        <v>4118</v>
      </c>
      <c r="D110" t="s">
        <v>4111</v>
      </c>
      <c r="E110" t="s">
        <v>3580</v>
      </c>
      <c r="F110" t="s">
        <v>4112</v>
      </c>
      <c r="G110" s="189"/>
    </row>
    <row r="111" spans="1:7" x14ac:dyDescent="0.35">
      <c r="A111" s="189" t="s">
        <v>4104</v>
      </c>
      <c r="B111" s="64">
        <f>((VLOOKUP(A111,'ACS 2017 Cook Co'!$A$1:$F$388,2,FALSE) * VLOOKUP("b23006_023",'ACS 2017 Cook Co'!$A$1:$F$388,2,FALSE) - VLOOKUP(A111,'ACS 2017 Chicago'!$A$1:$F$388,2,FALSE) * VLOOKUP("b23006_023",'ACS 2017 Chicago'!$A$1:$F$388,2,FALSE))) / (VLOOKUP("b23006_023",'ACS 2017 Cook Co'!$A$1:$F$388,2,FALSE) - VLOOKUP("b23006_023",'ACS 2017 Chicago'!$A$1:$F$388,2,FALSE))</f>
        <v>95394.124154715872</v>
      </c>
      <c r="C111" t="s">
        <v>4119</v>
      </c>
      <c r="D111" t="s">
        <v>4111</v>
      </c>
      <c r="E111" t="s">
        <v>3580</v>
      </c>
      <c r="F111" t="s">
        <v>4112</v>
      </c>
      <c r="G111" s="189"/>
    </row>
    <row r="112" spans="1:7" x14ac:dyDescent="0.35">
      <c r="A112" s="189" t="s">
        <v>4105</v>
      </c>
      <c r="B112" s="64">
        <f>((VLOOKUP(A112,'ACS 2017 Cook Co'!$A$1:$F$388,2,FALSE) * VLOOKUP("b23006_001",'ACS 2017 Cook Co'!$A$1:$F$388,2,FALSE) - VLOOKUP(A112,'ACS 2017 Chicago'!$A$1:$F$388,2,FALSE) * VLOOKUP("b23006_001",'ACS 2017 Chicago'!$A$1:$F$388,2,FALSE))) / (VLOOKUP("b23006_001",'ACS 2017 Cook Co'!$A$1:$F$388,2,FALSE) - VLOOKUP("b23006_001",'ACS 2017 Chicago'!$A$1:$F$388,2,FALSE))</f>
        <v>35710.228305682111</v>
      </c>
      <c r="C112" t="s">
        <v>3658</v>
      </c>
      <c r="D112" t="s">
        <v>4111</v>
      </c>
      <c r="E112" t="s">
        <v>3580</v>
      </c>
      <c r="F112" t="s">
        <v>4112</v>
      </c>
      <c r="G112" s="189"/>
    </row>
    <row r="113" spans="1:7" x14ac:dyDescent="0.35">
      <c r="A113" s="189" t="s">
        <v>4106</v>
      </c>
      <c r="B113" s="64">
        <f>((VLOOKUP(A113,'ACS 2017 Cook Co'!$A$1:$F$388,2,FALSE) * VLOOKUP("b23006_002",'ACS 2017 Cook Co'!$A$1:$F$388,2,FALSE) - VLOOKUP(A113,'ACS 2017 Chicago'!$A$1:$F$388,2,FALSE) * VLOOKUP("b23006_002",'ACS 2017 Chicago'!$A$1:$F$388,2,FALSE))) / (VLOOKUP("b23006_002",'ACS 2017 Cook Co'!$A$1:$F$388,2,FALSE) - VLOOKUP("b23006_002",'ACS 2017 Chicago'!$A$1:$F$388,2,FALSE))</f>
        <v>20127.834757379147</v>
      </c>
      <c r="C113" t="s">
        <v>4120</v>
      </c>
      <c r="D113" t="s">
        <v>4111</v>
      </c>
      <c r="E113" t="s">
        <v>3580</v>
      </c>
      <c r="F113" t="s">
        <v>4112</v>
      </c>
      <c r="G113" s="189"/>
    </row>
    <row r="114" spans="1:7" x14ac:dyDescent="0.35">
      <c r="A114" s="189" t="s">
        <v>4107</v>
      </c>
      <c r="B114" s="64">
        <f>((VLOOKUP(A114,'ACS 2017 Cook Co'!$A$1:$F$388,2,FALSE) * VLOOKUP("b23006_009",'ACS 2017 Cook Co'!$A$1:$F$388,2,FALSE) - VLOOKUP(A114,'ACS 2017 Chicago'!$A$1:$F$388,2,FALSE) * VLOOKUP("b23006_009",'ACS 2017 Chicago'!$A$1:$F$388,2,FALSE))) / (VLOOKUP("b23006_009",'ACS 2017 Cook Co'!$A$1:$F$388,2,FALSE) - VLOOKUP("b23006_009",'ACS 2017 Chicago'!$A$1:$F$388,2,FALSE))</f>
        <v>25909.166451377245</v>
      </c>
      <c r="C114" t="s">
        <v>4121</v>
      </c>
      <c r="D114" t="s">
        <v>4111</v>
      </c>
      <c r="E114" t="s">
        <v>3580</v>
      </c>
      <c r="F114" t="s">
        <v>4112</v>
      </c>
      <c r="G114" s="189"/>
    </row>
    <row r="115" spans="1:7" x14ac:dyDescent="0.35">
      <c r="A115" s="189" t="s">
        <v>4108</v>
      </c>
      <c r="B115" s="64">
        <f>((VLOOKUP(A115,'ACS 2017 Cook Co'!$A$1:$F$388,2,FALSE) * VLOOKUP("b23006_016",'ACS 2017 Cook Co'!$A$1:$F$388,2,FALSE) - VLOOKUP(A115,'ACS 2017 Chicago'!$A$1:$F$388,2,FALSE) * VLOOKUP("b23006_016",'ACS 2017 Chicago'!$A$1:$F$388,2,FALSE))) / (VLOOKUP("b23006_016",'ACS 2017 Cook Co'!$A$1:$F$388,2,FALSE) - VLOOKUP("b23006_016",'ACS 2017 Chicago'!$A$1:$F$388,2,FALSE))</f>
        <v>32324.69876755217</v>
      </c>
      <c r="C115" t="s">
        <v>4122</v>
      </c>
      <c r="D115" t="s">
        <v>4111</v>
      </c>
      <c r="E115" t="s">
        <v>3580</v>
      </c>
      <c r="F115" t="s">
        <v>4112</v>
      </c>
      <c r="G115" s="189"/>
    </row>
    <row r="116" spans="1:7" x14ac:dyDescent="0.35">
      <c r="A116" s="189" t="s">
        <v>4109</v>
      </c>
      <c r="B116" s="64">
        <f>((VLOOKUP(A116,'ACS 2017 Cook Co'!$A$1:$F$388,2,FALSE) * VLOOKUP("b23006_023",'ACS 2017 Cook Co'!$A$1:$F$388,2,FALSE) - VLOOKUP(A116,'ACS 2017 Chicago'!$A$1:$F$388,2,FALSE) * VLOOKUP("b23006_023",'ACS 2017 Chicago'!$A$1:$F$388,2,FALSE))) / (VLOOKUP("b23006_023",'ACS 2017 Cook Co'!$A$1:$F$388,2,FALSE) - VLOOKUP("b23006_023",'ACS 2017 Chicago'!$A$1:$F$388,2,FALSE))</f>
        <v>45385.516096982392</v>
      </c>
      <c r="C116" t="s">
        <v>4123</v>
      </c>
      <c r="D116" t="s">
        <v>4111</v>
      </c>
      <c r="E116" t="s">
        <v>3580</v>
      </c>
      <c r="F116" t="s">
        <v>4112</v>
      </c>
      <c r="G116" s="189"/>
    </row>
    <row r="117" spans="1:7" x14ac:dyDescent="0.35">
      <c r="A117" s="189" t="s">
        <v>4110</v>
      </c>
      <c r="B117" s="64">
        <f>((VLOOKUP(A117,'ACS 2017 Cook Co'!$A$1:$F$388,2,FALSE) * VLOOKUP("b23006_023",'ACS 2017 Cook Co'!$A$1:$F$388,2,FALSE) - VLOOKUP(A117,'ACS 2017 Chicago'!$A$1:$F$388,2,FALSE) * VLOOKUP("b23006_023",'ACS 2017 Chicago'!$A$1:$F$388,2,FALSE))) / (VLOOKUP("b23006_023",'ACS 2017 Cook Co'!$A$1:$F$388,2,FALSE) - VLOOKUP("b23006_023",'ACS 2017 Chicago'!$A$1:$F$388,2,FALSE))</f>
        <v>60283.655948181578</v>
      </c>
      <c r="C117" t="s">
        <v>4124</v>
      </c>
      <c r="D117" t="s">
        <v>4111</v>
      </c>
      <c r="E117" t="s">
        <v>3580</v>
      </c>
      <c r="F117" t="s">
        <v>4112</v>
      </c>
      <c r="G117" s="189"/>
    </row>
    <row r="118" spans="1:7" x14ac:dyDescent="0.35">
      <c r="A118" s="189" t="s">
        <v>3432</v>
      </c>
      <c r="B118" s="64">
        <f>VLOOKUP(A118,'ACS 2017 Cook Co'!$A$1:$F$388,2,FALSE) - VLOOKUP(A118,'ACS 2017 Chicago'!$A$1:$F$388,2,FALSE)</f>
        <v>1997589</v>
      </c>
      <c r="C118" t="s">
        <v>26</v>
      </c>
      <c r="D118" t="s">
        <v>3585</v>
      </c>
      <c r="E118" t="s">
        <v>3580</v>
      </c>
      <c r="F118" t="s">
        <v>3586</v>
      </c>
      <c r="G118" s="189"/>
    </row>
    <row r="119" spans="1:7" x14ac:dyDescent="0.35">
      <c r="A119" s="189" t="s">
        <v>3433</v>
      </c>
      <c r="B119" s="64">
        <f>VLOOKUP(A119,'ACS 2017 Cook Co'!$A$1:$F$388,2,FALSE) - VLOOKUP(A119,'ACS 2017 Chicago'!$A$1:$F$388,2,FALSE)</f>
        <v>953542</v>
      </c>
      <c r="C119" t="s">
        <v>3587</v>
      </c>
      <c r="D119" t="s">
        <v>3585</v>
      </c>
      <c r="E119" t="s">
        <v>3580</v>
      </c>
      <c r="F119" t="s">
        <v>3586</v>
      </c>
      <c r="G119" s="189"/>
    </row>
    <row r="120" spans="1:7" x14ac:dyDescent="0.35">
      <c r="A120" s="189" t="s">
        <v>3434</v>
      </c>
      <c r="B120" s="64">
        <f>VLOOKUP(A120,'ACS 2017 Cook Co'!$A$1:$F$388,2,FALSE) - VLOOKUP(A120,'ACS 2017 Chicago'!$A$1:$F$388,2,FALSE)</f>
        <v>65195</v>
      </c>
      <c r="C120" t="s">
        <v>3588</v>
      </c>
      <c r="D120" t="s">
        <v>3585</v>
      </c>
      <c r="E120" t="s">
        <v>3580</v>
      </c>
      <c r="F120" t="s">
        <v>3586</v>
      </c>
      <c r="G120" s="189"/>
    </row>
    <row r="121" spans="1:7" x14ac:dyDescent="0.35">
      <c r="A121" s="189" t="s">
        <v>3435</v>
      </c>
      <c r="B121" s="64">
        <f>VLOOKUP(A121,'ACS 2017 Cook Co'!$A$1:$F$388,2,FALSE) - VLOOKUP(A121,'ACS 2017 Chicago'!$A$1:$F$388,2,FALSE)</f>
        <v>22844</v>
      </c>
      <c r="C121" t="s">
        <v>3589</v>
      </c>
      <c r="D121" t="s">
        <v>3585</v>
      </c>
      <c r="E121" t="s">
        <v>3580</v>
      </c>
      <c r="F121" t="s">
        <v>3586</v>
      </c>
      <c r="G121" s="189"/>
    </row>
    <row r="122" spans="1:7" x14ac:dyDescent="0.35">
      <c r="A122" s="189" t="s">
        <v>3436</v>
      </c>
      <c r="B122" s="64">
        <f>VLOOKUP(A122,'ACS 2017 Cook Co'!$A$1:$F$388,2,FALSE) - VLOOKUP(A122,'ACS 2017 Chicago'!$A$1:$F$388,2,FALSE)</f>
        <v>3</v>
      </c>
      <c r="C122" t="s">
        <v>3590</v>
      </c>
      <c r="D122" t="s">
        <v>3585</v>
      </c>
      <c r="E122" t="s">
        <v>3580</v>
      </c>
      <c r="F122" t="s">
        <v>3586</v>
      </c>
      <c r="G122" s="189"/>
    </row>
    <row r="123" spans="1:7" x14ac:dyDescent="0.35">
      <c r="A123" s="189" t="s">
        <v>3437</v>
      </c>
      <c r="B123" s="64">
        <f>VLOOKUP(A123,'ACS 2017 Cook Co'!$A$1:$F$388,2,FALSE) - VLOOKUP(A123,'ACS 2017 Chicago'!$A$1:$F$388,2,FALSE)</f>
        <v>22841</v>
      </c>
      <c r="C123" t="s">
        <v>3591</v>
      </c>
      <c r="D123" t="s">
        <v>3585</v>
      </c>
      <c r="E123" t="s">
        <v>3580</v>
      </c>
      <c r="F123" t="s">
        <v>3586</v>
      </c>
      <c r="G123" s="189"/>
    </row>
    <row r="124" spans="1:7" x14ac:dyDescent="0.35">
      <c r="A124" s="189" t="s">
        <v>3438</v>
      </c>
      <c r="B124" s="64">
        <f>VLOOKUP(A124,'ACS 2017 Cook Co'!$A$1:$F$388,2,FALSE) - VLOOKUP(A124,'ACS 2017 Chicago'!$A$1:$F$388,2,FALSE)</f>
        <v>17444</v>
      </c>
      <c r="C124" t="s">
        <v>3592</v>
      </c>
      <c r="D124" t="s">
        <v>3585</v>
      </c>
      <c r="E124" t="s">
        <v>3580</v>
      </c>
      <c r="F124" t="s">
        <v>3586</v>
      </c>
      <c r="G124" s="189"/>
    </row>
    <row r="125" spans="1:7" x14ac:dyDescent="0.35">
      <c r="A125" s="189" t="s">
        <v>3439</v>
      </c>
      <c r="B125" s="64">
        <f>VLOOKUP(A125,'ACS 2017 Cook Co'!$A$1:$F$388,2,FALSE) - VLOOKUP(A125,'ACS 2017 Chicago'!$A$1:$F$388,2,FALSE)</f>
        <v>5397</v>
      </c>
      <c r="C125" t="s">
        <v>3593</v>
      </c>
      <c r="D125" t="s">
        <v>3585</v>
      </c>
      <c r="E125" t="s">
        <v>3580</v>
      </c>
      <c r="F125" t="s">
        <v>3586</v>
      </c>
      <c r="G125" s="189"/>
    </row>
    <row r="126" spans="1:7" x14ac:dyDescent="0.35">
      <c r="A126" s="189" t="s">
        <v>3440</v>
      </c>
      <c r="B126" s="64">
        <f>VLOOKUP(A126,'ACS 2017 Cook Co'!$A$1:$F$388,2,FALSE) - VLOOKUP(A126,'ACS 2017 Chicago'!$A$1:$F$388,2,FALSE)</f>
        <v>42351</v>
      </c>
      <c r="C126" t="s">
        <v>3594</v>
      </c>
      <c r="D126" t="s">
        <v>3585</v>
      </c>
      <c r="E126" t="s">
        <v>3580</v>
      </c>
      <c r="F126" t="s">
        <v>3586</v>
      </c>
      <c r="G126" s="189"/>
    </row>
    <row r="127" spans="1:7" x14ac:dyDescent="0.35">
      <c r="A127" s="189" t="s">
        <v>3441</v>
      </c>
      <c r="B127" s="64">
        <f>VLOOKUP(A127,'ACS 2017 Cook Co'!$A$1:$F$388,2,FALSE) - VLOOKUP(A127,'ACS 2017 Chicago'!$A$1:$F$388,2,FALSE)</f>
        <v>30921</v>
      </c>
      <c r="C127" t="s">
        <v>3595</v>
      </c>
      <c r="D127" t="s">
        <v>3585</v>
      </c>
      <c r="E127" t="s">
        <v>3580</v>
      </c>
      <c r="F127" t="s">
        <v>3586</v>
      </c>
      <c r="G127" s="189"/>
    </row>
    <row r="128" spans="1:7" x14ac:dyDescent="0.35">
      <c r="A128" s="189" t="s">
        <v>3442</v>
      </c>
      <c r="B128" s="64">
        <f>VLOOKUP(A128,'ACS 2017 Cook Co'!$A$1:$F$388,2,FALSE) - VLOOKUP(A128,'ACS 2017 Chicago'!$A$1:$F$388,2,FALSE)</f>
        <v>22232</v>
      </c>
      <c r="C128" t="s">
        <v>3596</v>
      </c>
      <c r="D128" t="s">
        <v>3585</v>
      </c>
      <c r="E128" t="s">
        <v>3580</v>
      </c>
      <c r="F128" t="s">
        <v>3586</v>
      </c>
      <c r="G128" s="189"/>
    </row>
    <row r="129" spans="1:7" x14ac:dyDescent="0.35">
      <c r="A129" s="189" t="s">
        <v>3443</v>
      </c>
      <c r="B129" s="64">
        <f>VLOOKUP(A129,'ACS 2017 Cook Co'!$A$1:$F$388,2,FALSE) - VLOOKUP(A129,'ACS 2017 Chicago'!$A$1:$F$388,2,FALSE)</f>
        <v>0</v>
      </c>
      <c r="C129" t="s">
        <v>3597</v>
      </c>
      <c r="D129" t="s">
        <v>3585</v>
      </c>
      <c r="E129" t="s">
        <v>3580</v>
      </c>
      <c r="F129" t="s">
        <v>3586</v>
      </c>
      <c r="G129" s="189"/>
    </row>
    <row r="130" spans="1:7" x14ac:dyDescent="0.35">
      <c r="A130" s="189" t="s">
        <v>3444</v>
      </c>
      <c r="B130" s="64">
        <f>VLOOKUP(A130,'ACS 2017 Cook Co'!$A$1:$F$388,2,FALSE) - VLOOKUP(A130,'ACS 2017 Chicago'!$A$1:$F$388,2,FALSE)</f>
        <v>22232</v>
      </c>
      <c r="C130" t="s">
        <v>3598</v>
      </c>
      <c r="D130" t="s">
        <v>3585</v>
      </c>
      <c r="E130" t="s">
        <v>3580</v>
      </c>
      <c r="F130" t="s">
        <v>3586</v>
      </c>
      <c r="G130" s="189"/>
    </row>
    <row r="131" spans="1:7" x14ac:dyDescent="0.35">
      <c r="A131" s="189" t="s">
        <v>3445</v>
      </c>
      <c r="B131" s="64">
        <f>VLOOKUP(A131,'ACS 2017 Cook Co'!$A$1:$F$388,2,FALSE) - VLOOKUP(A131,'ACS 2017 Chicago'!$A$1:$F$388,2,FALSE)</f>
        <v>17577</v>
      </c>
      <c r="C131" t="s">
        <v>3599</v>
      </c>
      <c r="D131" t="s">
        <v>3585</v>
      </c>
      <c r="E131" t="s">
        <v>3580</v>
      </c>
      <c r="F131" t="s">
        <v>3586</v>
      </c>
      <c r="G131" s="189"/>
    </row>
    <row r="132" spans="1:7" x14ac:dyDescent="0.35">
      <c r="A132" s="189" t="s">
        <v>3446</v>
      </c>
      <c r="B132" s="64">
        <f>VLOOKUP(A132,'ACS 2017 Cook Co'!$A$1:$F$388,2,FALSE) - VLOOKUP(A132,'ACS 2017 Chicago'!$A$1:$F$388,2,FALSE)</f>
        <v>4655</v>
      </c>
      <c r="C132" t="s">
        <v>3600</v>
      </c>
      <c r="D132" t="s">
        <v>3585</v>
      </c>
      <c r="E132" t="s">
        <v>3580</v>
      </c>
      <c r="F132" t="s">
        <v>3586</v>
      </c>
      <c r="G132" s="189"/>
    </row>
    <row r="133" spans="1:7" x14ac:dyDescent="0.35">
      <c r="A133" s="189" t="s">
        <v>3447</v>
      </c>
      <c r="B133" s="64">
        <f>VLOOKUP(A133,'ACS 2017 Cook Co'!$A$1:$F$388,2,FALSE) - VLOOKUP(A133,'ACS 2017 Chicago'!$A$1:$F$388,2,FALSE)</f>
        <v>8689</v>
      </c>
      <c r="C133" t="s">
        <v>3601</v>
      </c>
      <c r="D133" t="s">
        <v>3585</v>
      </c>
      <c r="E133" t="s">
        <v>3580</v>
      </c>
      <c r="F133" t="s">
        <v>3586</v>
      </c>
      <c r="G133" s="189"/>
    </row>
    <row r="134" spans="1:7" x14ac:dyDescent="0.35">
      <c r="A134" s="189" t="s">
        <v>3448</v>
      </c>
      <c r="B134" s="64">
        <f>VLOOKUP(A134,'ACS 2017 Cook Co'!$A$1:$F$388,2,FALSE) - VLOOKUP(A134,'ACS 2017 Chicago'!$A$1:$F$388,2,FALSE)</f>
        <v>43852</v>
      </c>
      <c r="C134" t="s">
        <v>3602</v>
      </c>
      <c r="D134" t="s">
        <v>3585</v>
      </c>
      <c r="E134" t="s">
        <v>3580</v>
      </c>
      <c r="F134" t="s">
        <v>3586</v>
      </c>
      <c r="G134" s="189"/>
    </row>
    <row r="135" spans="1:7" x14ac:dyDescent="0.35">
      <c r="A135" s="189" t="s">
        <v>3449</v>
      </c>
      <c r="B135" s="64">
        <f>VLOOKUP(A135,'ACS 2017 Cook Co'!$A$1:$F$388,2,FALSE) - VLOOKUP(A135,'ACS 2017 Chicago'!$A$1:$F$388,2,FALSE)</f>
        <v>35974</v>
      </c>
      <c r="C135" t="s">
        <v>3603</v>
      </c>
      <c r="D135" t="s">
        <v>3585</v>
      </c>
      <c r="E135" t="s">
        <v>3580</v>
      </c>
      <c r="F135" t="s">
        <v>3586</v>
      </c>
      <c r="G135" s="189"/>
    </row>
    <row r="136" spans="1:7" x14ac:dyDescent="0.35">
      <c r="A136" s="189" t="s">
        <v>3450</v>
      </c>
      <c r="B136" s="64">
        <f>VLOOKUP(A136,'ACS 2017 Cook Co'!$A$1:$F$388,2,FALSE) - VLOOKUP(A136,'ACS 2017 Chicago'!$A$1:$F$388,2,FALSE)</f>
        <v>4</v>
      </c>
      <c r="C136" t="s">
        <v>3604</v>
      </c>
      <c r="D136" t="s">
        <v>3585</v>
      </c>
      <c r="E136" t="s">
        <v>3580</v>
      </c>
      <c r="F136" t="s">
        <v>3586</v>
      </c>
      <c r="G136" s="189"/>
    </row>
    <row r="137" spans="1:7" x14ac:dyDescent="0.35">
      <c r="A137" s="189" t="s">
        <v>3451</v>
      </c>
      <c r="B137" s="64">
        <f>VLOOKUP(A137,'ACS 2017 Cook Co'!$A$1:$F$388,2,FALSE) - VLOOKUP(A137,'ACS 2017 Chicago'!$A$1:$F$388,2,FALSE)</f>
        <v>35970</v>
      </c>
      <c r="C137" t="s">
        <v>3605</v>
      </c>
      <c r="D137" t="s">
        <v>3585</v>
      </c>
      <c r="E137" t="s">
        <v>3580</v>
      </c>
      <c r="F137" t="s">
        <v>3586</v>
      </c>
      <c r="G137" s="189"/>
    </row>
    <row r="138" spans="1:7" x14ac:dyDescent="0.35">
      <c r="A138" s="189" t="s">
        <v>3452</v>
      </c>
      <c r="B138" s="64">
        <f>VLOOKUP(A138,'ACS 2017 Cook Co'!$A$1:$F$388,2,FALSE) - VLOOKUP(A138,'ACS 2017 Chicago'!$A$1:$F$388,2,FALSE)</f>
        <v>31190</v>
      </c>
      <c r="C138" t="s">
        <v>3606</v>
      </c>
      <c r="D138" t="s">
        <v>3585</v>
      </c>
      <c r="E138" t="s">
        <v>3580</v>
      </c>
      <c r="F138" t="s">
        <v>3586</v>
      </c>
      <c r="G138" s="189"/>
    </row>
    <row r="139" spans="1:7" x14ac:dyDescent="0.35">
      <c r="A139" s="189" t="s">
        <v>3453</v>
      </c>
      <c r="B139" s="64">
        <f>VLOOKUP(A139,'ACS 2017 Cook Co'!$A$1:$F$388,2,FALSE) - VLOOKUP(A139,'ACS 2017 Chicago'!$A$1:$F$388,2,FALSE)</f>
        <v>4780</v>
      </c>
      <c r="C139" t="s">
        <v>3607</v>
      </c>
      <c r="D139" t="s">
        <v>3585</v>
      </c>
      <c r="E139" t="s">
        <v>3580</v>
      </c>
      <c r="F139" t="s">
        <v>3586</v>
      </c>
      <c r="G139" s="189"/>
    </row>
    <row r="140" spans="1:7" x14ac:dyDescent="0.35">
      <c r="A140" s="189" t="s">
        <v>3454</v>
      </c>
      <c r="B140" s="64">
        <f>VLOOKUP(A140,'ACS 2017 Cook Co'!$A$1:$F$388,2,FALSE) - VLOOKUP(A140,'ACS 2017 Chicago'!$A$1:$F$388,2,FALSE)</f>
        <v>7878</v>
      </c>
      <c r="C140" t="s">
        <v>3608</v>
      </c>
      <c r="D140" t="s">
        <v>3585</v>
      </c>
      <c r="E140" t="s">
        <v>3580</v>
      </c>
      <c r="F140" t="s">
        <v>3586</v>
      </c>
      <c r="G140" s="189"/>
    </row>
    <row r="141" spans="1:7" x14ac:dyDescent="0.35">
      <c r="A141" s="189" t="s">
        <v>3455</v>
      </c>
      <c r="B141" s="64">
        <f>VLOOKUP(A141,'ACS 2017 Cook Co'!$A$1:$F$388,2,FALSE) - VLOOKUP(A141,'ACS 2017 Chicago'!$A$1:$F$388,2,FALSE)</f>
        <v>79538</v>
      </c>
      <c r="C141" t="s">
        <v>3609</v>
      </c>
      <c r="D141" t="s">
        <v>3585</v>
      </c>
      <c r="E141" t="s">
        <v>3580</v>
      </c>
      <c r="F141" t="s">
        <v>3586</v>
      </c>
      <c r="G141" s="189"/>
    </row>
    <row r="142" spans="1:7" x14ac:dyDescent="0.35">
      <c r="A142" s="189" t="s">
        <v>3456</v>
      </c>
      <c r="B142" s="64">
        <f>VLOOKUP(A142,'ACS 2017 Cook Co'!$A$1:$F$388,2,FALSE) - VLOOKUP(A142,'ACS 2017 Chicago'!$A$1:$F$388,2,FALSE)</f>
        <v>71226</v>
      </c>
      <c r="C142" t="s">
        <v>3610</v>
      </c>
      <c r="D142" t="s">
        <v>3585</v>
      </c>
      <c r="E142" t="s">
        <v>3580</v>
      </c>
      <c r="F142" t="s">
        <v>3586</v>
      </c>
      <c r="G142" s="189"/>
    </row>
    <row r="143" spans="1:7" x14ac:dyDescent="0.35">
      <c r="A143" s="189" t="s">
        <v>3457</v>
      </c>
      <c r="B143" s="64">
        <f>VLOOKUP(A143,'ACS 2017 Cook Co'!$A$1:$F$388,2,FALSE) - VLOOKUP(A143,'ACS 2017 Chicago'!$A$1:$F$388,2,FALSE)</f>
        <v>162</v>
      </c>
      <c r="C143" t="s">
        <v>3611</v>
      </c>
      <c r="D143" t="s">
        <v>3585</v>
      </c>
      <c r="E143" t="s">
        <v>3580</v>
      </c>
      <c r="F143" t="s">
        <v>3586</v>
      </c>
      <c r="G143" s="189"/>
    </row>
    <row r="144" spans="1:7" x14ac:dyDescent="0.35">
      <c r="A144" s="189" t="s">
        <v>3458</v>
      </c>
      <c r="B144" s="64">
        <f>VLOOKUP(A144,'ACS 2017 Cook Co'!$A$1:$F$388,2,FALSE) - VLOOKUP(A144,'ACS 2017 Chicago'!$A$1:$F$388,2,FALSE)</f>
        <v>71064</v>
      </c>
      <c r="C144" t="s">
        <v>3612</v>
      </c>
      <c r="D144" t="s">
        <v>3585</v>
      </c>
      <c r="E144" t="s">
        <v>3580</v>
      </c>
      <c r="F144" t="s">
        <v>3586</v>
      </c>
      <c r="G144" s="189"/>
    </row>
    <row r="145" spans="1:7" x14ac:dyDescent="0.35">
      <c r="A145" s="189" t="s">
        <v>3459</v>
      </c>
      <c r="B145" s="64">
        <f>VLOOKUP(A145,'ACS 2017 Cook Co'!$A$1:$F$388,2,FALSE) - VLOOKUP(A145,'ACS 2017 Chicago'!$A$1:$F$388,2,FALSE)</f>
        <v>64917</v>
      </c>
      <c r="C145" t="s">
        <v>3613</v>
      </c>
      <c r="D145" t="s">
        <v>3585</v>
      </c>
      <c r="E145" t="s">
        <v>3580</v>
      </c>
      <c r="F145" t="s">
        <v>3586</v>
      </c>
      <c r="G145" s="189"/>
    </row>
    <row r="146" spans="1:7" x14ac:dyDescent="0.35">
      <c r="A146" s="189" t="s">
        <v>3460</v>
      </c>
      <c r="B146" s="64">
        <f>VLOOKUP(A146,'ACS 2017 Cook Co'!$A$1:$F$388,2,FALSE) - VLOOKUP(A146,'ACS 2017 Chicago'!$A$1:$F$388,2,FALSE)</f>
        <v>6147</v>
      </c>
      <c r="C146" t="s">
        <v>3614</v>
      </c>
      <c r="D146" t="s">
        <v>3585</v>
      </c>
      <c r="E146" t="s">
        <v>3580</v>
      </c>
      <c r="F146" t="s">
        <v>3586</v>
      </c>
      <c r="G146" s="189"/>
    </row>
    <row r="147" spans="1:7" x14ac:dyDescent="0.35">
      <c r="A147" s="189" t="s">
        <v>3461</v>
      </c>
      <c r="B147" s="64">
        <f>VLOOKUP(A147,'ACS 2017 Cook Co'!$A$1:$F$388,2,FALSE) - VLOOKUP(A147,'ACS 2017 Chicago'!$A$1:$F$388,2,FALSE)</f>
        <v>8312</v>
      </c>
      <c r="C147" t="s">
        <v>3615</v>
      </c>
      <c r="D147" t="s">
        <v>3585</v>
      </c>
      <c r="E147" t="s">
        <v>3580</v>
      </c>
      <c r="F147" t="s">
        <v>3586</v>
      </c>
      <c r="G147" s="189"/>
    </row>
    <row r="148" spans="1:7" x14ac:dyDescent="0.35">
      <c r="A148" s="189" t="s">
        <v>3462</v>
      </c>
      <c r="B148" s="64">
        <f>VLOOKUP(A148,'ACS 2017 Cook Co'!$A$1:$F$388,2,FALSE) - VLOOKUP(A148,'ACS 2017 Chicago'!$A$1:$F$388,2,FALSE)</f>
        <v>81665</v>
      </c>
      <c r="C148" t="s">
        <v>3616</v>
      </c>
      <c r="D148" t="s">
        <v>3585</v>
      </c>
      <c r="E148" t="s">
        <v>3580</v>
      </c>
      <c r="F148" t="s">
        <v>3586</v>
      </c>
      <c r="G148" s="189"/>
    </row>
    <row r="149" spans="1:7" x14ac:dyDescent="0.35">
      <c r="A149" s="189" t="s">
        <v>3463</v>
      </c>
      <c r="B149" s="64">
        <f>VLOOKUP(A149,'ACS 2017 Cook Co'!$A$1:$F$388,2,FALSE) - VLOOKUP(A149,'ACS 2017 Chicago'!$A$1:$F$388,2,FALSE)</f>
        <v>75247</v>
      </c>
      <c r="C149" t="s">
        <v>3617</v>
      </c>
      <c r="D149" t="s">
        <v>3585</v>
      </c>
      <c r="E149" t="s">
        <v>3580</v>
      </c>
      <c r="F149" t="s">
        <v>3586</v>
      </c>
      <c r="G149" s="189"/>
    </row>
    <row r="150" spans="1:7" x14ac:dyDescent="0.35">
      <c r="A150" s="189" t="s">
        <v>3464</v>
      </c>
      <c r="B150" s="64">
        <f>VLOOKUP(A150,'ACS 2017 Cook Co'!$A$1:$F$388,2,FALSE) - VLOOKUP(A150,'ACS 2017 Chicago'!$A$1:$F$388,2,FALSE)</f>
        <v>153</v>
      </c>
      <c r="C150" t="s">
        <v>3618</v>
      </c>
      <c r="D150" t="s">
        <v>3585</v>
      </c>
      <c r="E150" t="s">
        <v>3580</v>
      </c>
      <c r="F150" t="s">
        <v>3586</v>
      </c>
      <c r="G150" s="189"/>
    </row>
    <row r="151" spans="1:7" x14ac:dyDescent="0.35">
      <c r="A151" s="189" t="s">
        <v>3465</v>
      </c>
      <c r="B151" s="64">
        <f>VLOOKUP(A151,'ACS 2017 Cook Co'!$A$1:$F$388,2,FALSE) - VLOOKUP(A151,'ACS 2017 Chicago'!$A$1:$F$388,2,FALSE)</f>
        <v>75094</v>
      </c>
      <c r="C151" t="s">
        <v>3619</v>
      </c>
      <c r="D151" t="s">
        <v>3585</v>
      </c>
      <c r="E151" t="s">
        <v>3580</v>
      </c>
      <c r="F151" t="s">
        <v>3586</v>
      </c>
      <c r="G151" s="189"/>
    </row>
    <row r="152" spans="1:7" x14ac:dyDescent="0.35">
      <c r="A152" s="189" t="s">
        <v>3466</v>
      </c>
      <c r="B152" s="64">
        <f>VLOOKUP(A152,'ACS 2017 Cook Co'!$A$1:$F$388,2,FALSE) - VLOOKUP(A152,'ACS 2017 Chicago'!$A$1:$F$388,2,FALSE)</f>
        <v>70343</v>
      </c>
      <c r="C152" t="s">
        <v>3620</v>
      </c>
      <c r="D152" t="s">
        <v>3585</v>
      </c>
      <c r="E152" t="s">
        <v>3580</v>
      </c>
      <c r="F152" t="s">
        <v>3586</v>
      </c>
      <c r="G152" s="189"/>
    </row>
    <row r="153" spans="1:7" x14ac:dyDescent="0.35">
      <c r="A153" s="189" t="s">
        <v>3467</v>
      </c>
      <c r="B153" s="64">
        <f>VLOOKUP(A153,'ACS 2017 Cook Co'!$A$1:$F$388,2,FALSE) - VLOOKUP(A153,'ACS 2017 Chicago'!$A$1:$F$388,2,FALSE)</f>
        <v>4751</v>
      </c>
      <c r="C153" t="s">
        <v>3621</v>
      </c>
      <c r="D153" t="s">
        <v>3585</v>
      </c>
      <c r="E153" t="s">
        <v>3580</v>
      </c>
      <c r="F153" t="s">
        <v>3586</v>
      </c>
      <c r="G153" s="189"/>
    </row>
    <row r="154" spans="1:7" x14ac:dyDescent="0.35">
      <c r="A154" s="189" t="s">
        <v>3468</v>
      </c>
      <c r="B154" s="64">
        <f>VLOOKUP(A154,'ACS 2017 Cook Co'!$A$1:$F$388,2,FALSE) - VLOOKUP(A154,'ACS 2017 Chicago'!$A$1:$F$388,2,FALSE)</f>
        <v>6418</v>
      </c>
      <c r="C154" t="s">
        <v>3622</v>
      </c>
      <c r="D154" t="s">
        <v>3585</v>
      </c>
      <c r="E154" t="s">
        <v>3580</v>
      </c>
      <c r="F154" t="s">
        <v>3586</v>
      </c>
      <c r="G154" s="189"/>
    </row>
    <row r="155" spans="1:7" x14ac:dyDescent="0.35">
      <c r="A155" s="189" t="s">
        <v>3469</v>
      </c>
      <c r="B155" s="64">
        <f>VLOOKUP(A155,'ACS 2017 Cook Co'!$A$1:$F$388,2,FALSE) - VLOOKUP(A155,'ACS 2017 Chicago'!$A$1:$F$388,2,FALSE)</f>
        <v>159048</v>
      </c>
      <c r="C155" t="s">
        <v>3623</v>
      </c>
      <c r="D155" t="s">
        <v>3585</v>
      </c>
      <c r="E155" t="s">
        <v>3580</v>
      </c>
      <c r="F155" t="s">
        <v>3586</v>
      </c>
      <c r="G155" s="189"/>
    </row>
    <row r="156" spans="1:7" x14ac:dyDescent="0.35">
      <c r="A156" s="189" t="s">
        <v>3470</v>
      </c>
      <c r="B156" s="64">
        <f>VLOOKUP(A156,'ACS 2017 Cook Co'!$A$1:$F$388,2,FALSE) - VLOOKUP(A156,'ACS 2017 Chicago'!$A$1:$F$388,2,FALSE)</f>
        <v>147384</v>
      </c>
      <c r="C156" t="s">
        <v>3624</v>
      </c>
      <c r="D156" t="s">
        <v>3585</v>
      </c>
      <c r="E156" t="s">
        <v>3580</v>
      </c>
      <c r="F156" t="s">
        <v>3586</v>
      </c>
      <c r="G156" s="189"/>
    </row>
    <row r="157" spans="1:7" x14ac:dyDescent="0.35">
      <c r="A157" s="189" t="s">
        <v>3471</v>
      </c>
      <c r="B157" s="64">
        <f>VLOOKUP(A157,'ACS 2017 Cook Co'!$A$1:$F$388,2,FALSE) - VLOOKUP(A157,'ACS 2017 Chicago'!$A$1:$F$388,2,FALSE)</f>
        <v>106</v>
      </c>
      <c r="C157" t="s">
        <v>3625</v>
      </c>
      <c r="D157" t="s">
        <v>3585</v>
      </c>
      <c r="E157" t="s">
        <v>3580</v>
      </c>
      <c r="F157" t="s">
        <v>3586</v>
      </c>
      <c r="G157" s="189"/>
    </row>
    <row r="158" spans="1:7" x14ac:dyDescent="0.35">
      <c r="A158" s="189" t="s">
        <v>3472</v>
      </c>
      <c r="B158" s="64">
        <f>VLOOKUP(A158,'ACS 2017 Cook Co'!$A$1:$F$388,2,FALSE) - VLOOKUP(A158,'ACS 2017 Chicago'!$A$1:$F$388,2,FALSE)</f>
        <v>147278</v>
      </c>
      <c r="C158" t="s">
        <v>3626</v>
      </c>
      <c r="D158" t="s">
        <v>3585</v>
      </c>
      <c r="E158" t="s">
        <v>3580</v>
      </c>
      <c r="F158" t="s">
        <v>3586</v>
      </c>
      <c r="G158" s="189"/>
    </row>
    <row r="159" spans="1:7" x14ac:dyDescent="0.35">
      <c r="A159" s="189" t="s">
        <v>3473</v>
      </c>
      <c r="B159" s="64">
        <f>VLOOKUP(A159,'ACS 2017 Cook Co'!$A$1:$F$388,2,FALSE) - VLOOKUP(A159,'ACS 2017 Chicago'!$A$1:$F$388,2,FALSE)</f>
        <v>137966</v>
      </c>
      <c r="C159" t="s">
        <v>3627</v>
      </c>
      <c r="D159" t="s">
        <v>3585</v>
      </c>
      <c r="E159" t="s">
        <v>3580</v>
      </c>
      <c r="F159" t="s">
        <v>3586</v>
      </c>
      <c r="G159" s="189"/>
    </row>
    <row r="160" spans="1:7" x14ac:dyDescent="0.35">
      <c r="A160" s="189" t="s">
        <v>3474</v>
      </c>
      <c r="B160" s="64">
        <f>VLOOKUP(A160,'ACS 2017 Cook Co'!$A$1:$F$388,2,FALSE) - VLOOKUP(A160,'ACS 2017 Chicago'!$A$1:$F$388,2,FALSE)</f>
        <v>9312</v>
      </c>
      <c r="C160" t="s">
        <v>3628</v>
      </c>
      <c r="D160" t="s">
        <v>3585</v>
      </c>
      <c r="E160" t="s">
        <v>3580</v>
      </c>
      <c r="F160" t="s">
        <v>3586</v>
      </c>
      <c r="G160" s="189"/>
    </row>
    <row r="161" spans="1:7" x14ac:dyDescent="0.35">
      <c r="A161" s="189" t="s">
        <v>3475</v>
      </c>
      <c r="B161" s="64">
        <f>VLOOKUP(A161,'ACS 2017 Cook Co'!$A$1:$F$388,2,FALSE) - VLOOKUP(A161,'ACS 2017 Chicago'!$A$1:$F$388,2,FALSE)</f>
        <v>11664</v>
      </c>
      <c r="C161" t="s">
        <v>3629</v>
      </c>
      <c r="D161" t="s">
        <v>3585</v>
      </c>
      <c r="E161" t="s">
        <v>3580</v>
      </c>
      <c r="F161" t="s">
        <v>3586</v>
      </c>
      <c r="G161" s="189"/>
    </row>
    <row r="162" spans="1:7" x14ac:dyDescent="0.35">
      <c r="A162" s="189" t="s">
        <v>3476</v>
      </c>
      <c r="B162" s="64">
        <f>VLOOKUP(A162,'ACS 2017 Cook Co'!$A$1:$F$388,2,FALSE) - VLOOKUP(A162,'ACS 2017 Chicago'!$A$1:$F$388,2,FALSE)</f>
        <v>168265</v>
      </c>
      <c r="C162" t="s">
        <v>3630</v>
      </c>
      <c r="D162" t="s">
        <v>3585</v>
      </c>
      <c r="E162" t="s">
        <v>3580</v>
      </c>
      <c r="F162" t="s">
        <v>3586</v>
      </c>
      <c r="G162" s="189"/>
    </row>
    <row r="163" spans="1:7" x14ac:dyDescent="0.35">
      <c r="A163" s="189" t="s">
        <v>3477</v>
      </c>
      <c r="B163" s="64">
        <f>VLOOKUP(A163,'ACS 2017 Cook Co'!$A$1:$F$388,2,FALSE) - VLOOKUP(A163,'ACS 2017 Chicago'!$A$1:$F$388,2,FALSE)</f>
        <v>151222</v>
      </c>
      <c r="C163" t="s">
        <v>3631</v>
      </c>
      <c r="D163" t="s">
        <v>3585</v>
      </c>
      <c r="E163" t="s">
        <v>3580</v>
      </c>
      <c r="F163" t="s">
        <v>3586</v>
      </c>
      <c r="G163" s="189"/>
    </row>
    <row r="164" spans="1:7" x14ac:dyDescent="0.35">
      <c r="A164" s="189" t="s">
        <v>3478</v>
      </c>
      <c r="B164" s="64">
        <f>VLOOKUP(A164,'ACS 2017 Cook Co'!$A$1:$F$388,2,FALSE) - VLOOKUP(A164,'ACS 2017 Chicago'!$A$1:$F$388,2,FALSE)</f>
        <v>39</v>
      </c>
      <c r="C164" t="s">
        <v>3632</v>
      </c>
      <c r="D164" t="s">
        <v>3585</v>
      </c>
      <c r="E164" t="s">
        <v>3580</v>
      </c>
      <c r="F164" t="s">
        <v>3586</v>
      </c>
      <c r="G164" s="189"/>
    </row>
    <row r="165" spans="1:7" x14ac:dyDescent="0.35">
      <c r="A165" s="189" t="s">
        <v>3479</v>
      </c>
      <c r="B165" s="64">
        <f>VLOOKUP(A165,'ACS 2017 Cook Co'!$A$1:$F$388,2,FALSE) - VLOOKUP(A165,'ACS 2017 Chicago'!$A$1:$F$388,2,FALSE)</f>
        <v>151183</v>
      </c>
      <c r="C165" t="s">
        <v>3633</v>
      </c>
      <c r="D165" t="s">
        <v>3585</v>
      </c>
      <c r="E165" t="s">
        <v>3580</v>
      </c>
      <c r="F165" t="s">
        <v>3586</v>
      </c>
      <c r="G165" s="189"/>
    </row>
    <row r="166" spans="1:7" x14ac:dyDescent="0.35">
      <c r="A166" s="189" t="s">
        <v>3480</v>
      </c>
      <c r="B166" s="64">
        <f>VLOOKUP(A166,'ACS 2017 Cook Co'!$A$1:$F$388,2,FALSE) - VLOOKUP(A166,'ACS 2017 Chicago'!$A$1:$F$388,2,FALSE)</f>
        <v>142115</v>
      </c>
      <c r="C166" t="s">
        <v>3634</v>
      </c>
      <c r="D166" t="s">
        <v>3585</v>
      </c>
      <c r="E166" t="s">
        <v>3580</v>
      </c>
      <c r="F166" t="s">
        <v>3586</v>
      </c>
      <c r="G166" s="189"/>
    </row>
    <row r="167" spans="1:7" x14ac:dyDescent="0.35">
      <c r="A167" s="189" t="s">
        <v>3481</v>
      </c>
      <c r="B167" s="64">
        <f>VLOOKUP(A167,'ACS 2017 Cook Co'!$A$1:$F$388,2,FALSE) - VLOOKUP(A167,'ACS 2017 Chicago'!$A$1:$F$388,2,FALSE)</f>
        <v>9068</v>
      </c>
      <c r="C167" t="s">
        <v>3635</v>
      </c>
      <c r="D167" t="s">
        <v>3585</v>
      </c>
      <c r="E167" t="s">
        <v>3580</v>
      </c>
      <c r="F167" t="s">
        <v>3586</v>
      </c>
      <c r="G167" s="189"/>
    </row>
    <row r="168" spans="1:7" x14ac:dyDescent="0.35">
      <c r="A168" s="189" t="s">
        <v>3482</v>
      </c>
      <c r="B168" s="64">
        <f>VLOOKUP(A168,'ACS 2017 Cook Co'!$A$1:$F$388,2,FALSE) - VLOOKUP(A168,'ACS 2017 Chicago'!$A$1:$F$388,2,FALSE)</f>
        <v>17043</v>
      </c>
      <c r="C168" t="s">
        <v>3636</v>
      </c>
      <c r="D168" t="s">
        <v>3585</v>
      </c>
      <c r="E168" t="s">
        <v>3580</v>
      </c>
      <c r="F168" t="s">
        <v>3586</v>
      </c>
      <c r="G168" s="189"/>
    </row>
    <row r="169" spans="1:7" x14ac:dyDescent="0.35">
      <c r="A169" s="189" t="s">
        <v>3483</v>
      </c>
      <c r="B169" s="64">
        <f>VLOOKUP(A169,'ACS 2017 Cook Co'!$A$1:$F$388,2,FALSE) - VLOOKUP(A169,'ACS 2017 Chicago'!$A$1:$F$388,2,FALSE)</f>
        <v>84464</v>
      </c>
      <c r="C169" t="s">
        <v>3637</v>
      </c>
      <c r="D169" t="s">
        <v>3585</v>
      </c>
      <c r="E169" t="s">
        <v>3580</v>
      </c>
      <c r="F169" t="s">
        <v>3586</v>
      </c>
      <c r="G169" s="189"/>
    </row>
    <row r="170" spans="1:7" x14ac:dyDescent="0.35">
      <c r="A170" s="189" t="s">
        <v>3484</v>
      </c>
      <c r="B170" s="64">
        <f>VLOOKUP(A170,'ACS 2017 Cook Co'!$A$1:$F$388,2,FALSE) - VLOOKUP(A170,'ACS 2017 Chicago'!$A$1:$F$388,2,FALSE)</f>
        <v>69392</v>
      </c>
      <c r="C170" t="s">
        <v>3638</v>
      </c>
      <c r="D170" t="s">
        <v>3585</v>
      </c>
      <c r="E170" t="s">
        <v>3580</v>
      </c>
      <c r="F170" t="s">
        <v>3586</v>
      </c>
      <c r="G170" s="189"/>
    </row>
    <row r="171" spans="1:7" x14ac:dyDescent="0.35">
      <c r="A171" s="189" t="s">
        <v>3485</v>
      </c>
      <c r="B171" s="64">
        <f>VLOOKUP(A171,'ACS 2017 Cook Co'!$A$1:$F$388,2,FALSE) - VLOOKUP(A171,'ACS 2017 Chicago'!$A$1:$F$388,2,FALSE)</f>
        <v>72</v>
      </c>
      <c r="C171" t="s">
        <v>3639</v>
      </c>
      <c r="D171" t="s">
        <v>3585</v>
      </c>
      <c r="E171" t="s">
        <v>3580</v>
      </c>
      <c r="F171" t="s">
        <v>3586</v>
      </c>
      <c r="G171" s="189"/>
    </row>
    <row r="172" spans="1:7" x14ac:dyDescent="0.35">
      <c r="A172" s="189" t="s">
        <v>3486</v>
      </c>
      <c r="B172" s="64">
        <f>VLOOKUP(A172,'ACS 2017 Cook Co'!$A$1:$F$388,2,FALSE) - VLOOKUP(A172,'ACS 2017 Chicago'!$A$1:$F$388,2,FALSE)</f>
        <v>69320</v>
      </c>
      <c r="C172" t="s">
        <v>3640</v>
      </c>
      <c r="D172" t="s">
        <v>3585</v>
      </c>
      <c r="E172" t="s">
        <v>3580</v>
      </c>
      <c r="F172" t="s">
        <v>3586</v>
      </c>
      <c r="G172" s="189"/>
    </row>
    <row r="173" spans="1:7" x14ac:dyDescent="0.35">
      <c r="A173" s="189" t="s">
        <v>3487</v>
      </c>
      <c r="B173" s="64">
        <f>VLOOKUP(A173,'ACS 2017 Cook Co'!$A$1:$F$388,2,FALSE) - VLOOKUP(A173,'ACS 2017 Chicago'!$A$1:$F$388,2,FALSE)</f>
        <v>65344</v>
      </c>
      <c r="C173" t="s">
        <v>3641</v>
      </c>
      <c r="D173" t="s">
        <v>3585</v>
      </c>
      <c r="E173" t="s">
        <v>3580</v>
      </c>
      <c r="F173" t="s">
        <v>3586</v>
      </c>
      <c r="G173" s="189"/>
    </row>
    <row r="174" spans="1:7" x14ac:dyDescent="0.35">
      <c r="A174" s="189" t="s">
        <v>3488</v>
      </c>
      <c r="B174" s="64">
        <f>VLOOKUP(A174,'ACS 2017 Cook Co'!$A$1:$F$388,2,FALSE) - VLOOKUP(A174,'ACS 2017 Chicago'!$A$1:$F$388,2,FALSE)</f>
        <v>3976</v>
      </c>
      <c r="C174" t="s">
        <v>3642</v>
      </c>
      <c r="D174" t="s">
        <v>3585</v>
      </c>
      <c r="E174" t="s">
        <v>3580</v>
      </c>
      <c r="F174" t="s">
        <v>3586</v>
      </c>
      <c r="G174" s="189"/>
    </row>
    <row r="175" spans="1:7" x14ac:dyDescent="0.35">
      <c r="A175" s="189" t="s">
        <v>3489</v>
      </c>
      <c r="B175" s="64">
        <f>VLOOKUP(A175,'ACS 2017 Cook Co'!$A$1:$F$388,2,FALSE) - VLOOKUP(A175,'ACS 2017 Chicago'!$A$1:$F$388,2,FALSE)</f>
        <v>15072</v>
      </c>
      <c r="C175" t="s">
        <v>3643</v>
      </c>
      <c r="D175" t="s">
        <v>3585</v>
      </c>
      <c r="E175" t="s">
        <v>3580</v>
      </c>
      <c r="F175" t="s">
        <v>3586</v>
      </c>
      <c r="G175" s="189"/>
    </row>
    <row r="176" spans="1:7" x14ac:dyDescent="0.35">
      <c r="A176" s="189" t="s">
        <v>3490</v>
      </c>
      <c r="B176" s="64">
        <f>VLOOKUP(A176,'ACS 2017 Cook Co'!$A$1:$F$388,2,FALSE) - VLOOKUP(A176,'ACS 2017 Chicago'!$A$1:$F$388,2,FALSE)</f>
        <v>32993</v>
      </c>
      <c r="C176" t="s">
        <v>3644</v>
      </c>
      <c r="D176" t="s">
        <v>3585</v>
      </c>
      <c r="E176" t="s">
        <v>3580</v>
      </c>
      <c r="F176" t="s">
        <v>3586</v>
      </c>
      <c r="G176" s="189"/>
    </row>
    <row r="177" spans="1:7" x14ac:dyDescent="0.35">
      <c r="A177" s="189" t="s">
        <v>3491</v>
      </c>
      <c r="B177" s="64">
        <f>VLOOKUP(A177,'ACS 2017 Cook Co'!$A$1:$F$388,2,FALSE) - VLOOKUP(A177,'ACS 2017 Chicago'!$A$1:$F$388,2,FALSE)</f>
        <v>24613</v>
      </c>
      <c r="C177" t="s">
        <v>3645</v>
      </c>
      <c r="D177" t="s">
        <v>3585</v>
      </c>
      <c r="E177" t="s">
        <v>3580</v>
      </c>
      <c r="F177" t="s">
        <v>3586</v>
      </c>
      <c r="G177" s="189"/>
    </row>
    <row r="178" spans="1:7" x14ac:dyDescent="0.35">
      <c r="A178" s="189" t="s">
        <v>3492</v>
      </c>
      <c r="B178" s="64">
        <f>VLOOKUP(A178,'ACS 2017 Cook Co'!$A$1:$F$388,2,FALSE) - VLOOKUP(A178,'ACS 2017 Chicago'!$A$1:$F$388,2,FALSE)</f>
        <v>0</v>
      </c>
      <c r="C178" t="s">
        <v>3646</v>
      </c>
      <c r="D178" t="s">
        <v>3585</v>
      </c>
      <c r="E178" t="s">
        <v>3580</v>
      </c>
      <c r="F178" t="s">
        <v>3586</v>
      </c>
      <c r="G178" s="189"/>
    </row>
    <row r="179" spans="1:7" x14ac:dyDescent="0.35">
      <c r="A179" s="189" t="s">
        <v>3493</v>
      </c>
      <c r="B179" s="64">
        <f>VLOOKUP(A179,'ACS 2017 Cook Co'!$A$1:$F$388,2,FALSE) - VLOOKUP(A179,'ACS 2017 Chicago'!$A$1:$F$388,2,FALSE)</f>
        <v>24613</v>
      </c>
      <c r="C179" t="s">
        <v>3647</v>
      </c>
      <c r="D179" t="s">
        <v>3585</v>
      </c>
      <c r="E179" t="s">
        <v>3580</v>
      </c>
      <c r="F179" t="s">
        <v>3586</v>
      </c>
      <c r="G179" s="189"/>
    </row>
    <row r="180" spans="1:7" x14ac:dyDescent="0.35">
      <c r="A180" s="189" t="s">
        <v>3494</v>
      </c>
      <c r="B180" s="64">
        <f>VLOOKUP(A180,'ACS 2017 Cook Co'!$A$1:$F$388,2,FALSE) - VLOOKUP(A180,'ACS 2017 Chicago'!$A$1:$F$388,2,FALSE)</f>
        <v>23118</v>
      </c>
      <c r="C180" t="s">
        <v>3648</v>
      </c>
      <c r="D180" t="s">
        <v>3585</v>
      </c>
      <c r="E180" t="s">
        <v>3580</v>
      </c>
      <c r="F180" t="s">
        <v>3586</v>
      </c>
      <c r="G180" s="189"/>
    </row>
    <row r="181" spans="1:7" x14ac:dyDescent="0.35">
      <c r="A181" s="189" t="s">
        <v>3495</v>
      </c>
      <c r="B181" s="64">
        <f>VLOOKUP(A181,'ACS 2017 Cook Co'!$A$1:$F$388,2,FALSE) - VLOOKUP(A181,'ACS 2017 Chicago'!$A$1:$F$388,2,FALSE)</f>
        <v>1495</v>
      </c>
      <c r="C181" t="s">
        <v>3649</v>
      </c>
      <c r="D181" t="s">
        <v>3585</v>
      </c>
      <c r="E181" t="s">
        <v>3580</v>
      </c>
      <c r="F181" t="s">
        <v>3586</v>
      </c>
      <c r="G181" s="189"/>
    </row>
    <row r="182" spans="1:7" x14ac:dyDescent="0.35">
      <c r="A182" s="189" t="s">
        <v>3496</v>
      </c>
      <c r="B182" s="64">
        <f>VLOOKUP(A182,'ACS 2017 Cook Co'!$A$1:$F$388,2,FALSE) - VLOOKUP(A182,'ACS 2017 Chicago'!$A$1:$F$388,2,FALSE)</f>
        <v>8380</v>
      </c>
      <c r="C182" t="s">
        <v>3650</v>
      </c>
      <c r="D182" t="s">
        <v>3585</v>
      </c>
      <c r="E182" t="s">
        <v>3580</v>
      </c>
      <c r="F182" t="s">
        <v>3586</v>
      </c>
      <c r="G182" s="189"/>
    </row>
    <row r="183" spans="1:7" x14ac:dyDescent="0.35">
      <c r="A183" s="189" t="s">
        <v>3497</v>
      </c>
      <c r="B183" s="64">
        <f>VLOOKUP(A183,'ACS 2017 Cook Co'!$A$1:$F$388,2,FALSE) - VLOOKUP(A183,'ACS 2017 Chicago'!$A$1:$F$388,2,FALSE)</f>
        <v>42986</v>
      </c>
      <c r="C183" t="s">
        <v>3651</v>
      </c>
      <c r="D183" t="s">
        <v>3585</v>
      </c>
      <c r="E183" t="s">
        <v>3580</v>
      </c>
      <c r="F183" t="s">
        <v>3586</v>
      </c>
      <c r="G183" s="189"/>
    </row>
    <row r="184" spans="1:7" x14ac:dyDescent="0.35">
      <c r="A184" s="189" t="s">
        <v>3498</v>
      </c>
      <c r="B184" s="64">
        <f>VLOOKUP(A184,'ACS 2017 Cook Co'!$A$1:$F$388,2,FALSE) - VLOOKUP(A184,'ACS 2017 Chicago'!$A$1:$F$388,2,FALSE)</f>
        <v>27127</v>
      </c>
      <c r="C184" t="s">
        <v>3652</v>
      </c>
      <c r="D184" t="s">
        <v>3585</v>
      </c>
      <c r="E184" t="s">
        <v>3580</v>
      </c>
      <c r="F184" t="s">
        <v>3586</v>
      </c>
      <c r="G184" s="189"/>
    </row>
    <row r="185" spans="1:7" x14ac:dyDescent="0.35">
      <c r="A185" s="189" t="s">
        <v>3499</v>
      </c>
      <c r="B185" s="64">
        <f>VLOOKUP(A185,'ACS 2017 Cook Co'!$A$1:$F$388,2,FALSE) - VLOOKUP(A185,'ACS 2017 Chicago'!$A$1:$F$388,2,FALSE)</f>
        <v>0</v>
      </c>
      <c r="C185" t="s">
        <v>3653</v>
      </c>
      <c r="D185" t="s">
        <v>3585</v>
      </c>
      <c r="E185" t="s">
        <v>3580</v>
      </c>
      <c r="F185" t="s">
        <v>3586</v>
      </c>
      <c r="G185" s="189"/>
    </row>
    <row r="186" spans="1:7" x14ac:dyDescent="0.35">
      <c r="A186" s="189" t="s">
        <v>3500</v>
      </c>
      <c r="B186" s="64">
        <f>VLOOKUP(A186,'ACS 2017 Cook Co'!$A$1:$F$388,2,FALSE) - VLOOKUP(A186,'ACS 2017 Chicago'!$A$1:$F$388,2,FALSE)</f>
        <v>27127</v>
      </c>
      <c r="C186" t="s">
        <v>3654</v>
      </c>
      <c r="D186" t="s">
        <v>3585</v>
      </c>
      <c r="E186" t="s">
        <v>3580</v>
      </c>
      <c r="F186" t="s">
        <v>3586</v>
      </c>
      <c r="G186" s="189"/>
    </row>
    <row r="187" spans="1:7" x14ac:dyDescent="0.35">
      <c r="A187" s="189" t="s">
        <v>3501</v>
      </c>
      <c r="B187" s="64">
        <f>VLOOKUP(A187,'ACS 2017 Cook Co'!$A$1:$F$388,2,FALSE) - VLOOKUP(A187,'ACS 2017 Chicago'!$A$1:$F$388,2,FALSE)</f>
        <v>25801</v>
      </c>
      <c r="C187" t="s">
        <v>3655</v>
      </c>
      <c r="D187" t="s">
        <v>3585</v>
      </c>
      <c r="E187" t="s">
        <v>3580</v>
      </c>
      <c r="F187" t="s">
        <v>3586</v>
      </c>
      <c r="G187" s="189"/>
    </row>
    <row r="188" spans="1:7" x14ac:dyDescent="0.35">
      <c r="A188" s="189" t="s">
        <v>3502</v>
      </c>
      <c r="B188" s="64">
        <f>VLOOKUP(A188,'ACS 2017 Cook Co'!$A$1:$F$388,2,FALSE) - VLOOKUP(A188,'ACS 2017 Chicago'!$A$1:$F$388,2,FALSE)</f>
        <v>1326</v>
      </c>
      <c r="C188" t="s">
        <v>3656</v>
      </c>
      <c r="D188" t="s">
        <v>3585</v>
      </c>
      <c r="E188" t="s">
        <v>3580</v>
      </c>
      <c r="F188" t="s">
        <v>3586</v>
      </c>
      <c r="G188" s="189"/>
    </row>
    <row r="189" spans="1:7" x14ac:dyDescent="0.35">
      <c r="A189" s="189" t="s">
        <v>3503</v>
      </c>
      <c r="B189" s="64">
        <f>VLOOKUP(A189,'ACS 2017 Cook Co'!$A$1:$F$388,2,FALSE) - VLOOKUP(A189,'ACS 2017 Chicago'!$A$1:$F$388,2,FALSE)</f>
        <v>15859</v>
      </c>
      <c r="C189" t="s">
        <v>3657</v>
      </c>
      <c r="D189" t="s">
        <v>3585</v>
      </c>
      <c r="E189" t="s">
        <v>3580</v>
      </c>
      <c r="F189" t="s">
        <v>3586</v>
      </c>
      <c r="G189" s="189"/>
    </row>
    <row r="190" spans="1:7" x14ac:dyDescent="0.35">
      <c r="A190" s="189" t="s">
        <v>3504</v>
      </c>
      <c r="B190" s="64">
        <f>VLOOKUP(A190,'ACS 2017 Cook Co'!$A$1:$F$388,2,FALSE) - VLOOKUP(A190,'ACS 2017 Chicago'!$A$1:$F$388,2,FALSE)</f>
        <v>1044047</v>
      </c>
      <c r="C190" t="s">
        <v>3658</v>
      </c>
      <c r="D190" t="s">
        <v>3585</v>
      </c>
      <c r="E190" t="s">
        <v>3580</v>
      </c>
      <c r="F190" t="s">
        <v>3586</v>
      </c>
      <c r="G190" s="189"/>
    </row>
    <row r="191" spans="1:7" x14ac:dyDescent="0.35">
      <c r="A191" s="189" t="s">
        <v>3505</v>
      </c>
      <c r="B191" s="64">
        <f>VLOOKUP(A191,'ACS 2017 Cook Co'!$A$1:$F$388,2,FALSE) - VLOOKUP(A191,'ACS 2017 Chicago'!$A$1:$F$388,2,FALSE)</f>
        <v>60754</v>
      </c>
      <c r="C191" t="s">
        <v>3659</v>
      </c>
      <c r="D191" t="s">
        <v>3585</v>
      </c>
      <c r="E191" t="s">
        <v>3580</v>
      </c>
      <c r="F191" t="s">
        <v>3586</v>
      </c>
      <c r="G191" s="189"/>
    </row>
    <row r="192" spans="1:7" x14ac:dyDescent="0.35">
      <c r="A192" s="189" t="s">
        <v>3506</v>
      </c>
      <c r="B192" s="64">
        <f>VLOOKUP(A192,'ACS 2017 Cook Co'!$A$1:$F$388,2,FALSE) - VLOOKUP(A192,'ACS 2017 Chicago'!$A$1:$F$388,2,FALSE)</f>
        <v>21110</v>
      </c>
      <c r="C192" t="s">
        <v>3660</v>
      </c>
      <c r="D192" t="s">
        <v>3585</v>
      </c>
      <c r="E192" t="s">
        <v>3580</v>
      </c>
      <c r="F192" t="s">
        <v>3586</v>
      </c>
      <c r="G192" s="189"/>
    </row>
    <row r="193" spans="1:7" x14ac:dyDescent="0.35">
      <c r="A193" s="189" t="s">
        <v>3507</v>
      </c>
      <c r="B193" s="64">
        <f>VLOOKUP(A193,'ACS 2017 Cook Co'!$A$1:$F$388,2,FALSE) - VLOOKUP(A193,'ACS 2017 Chicago'!$A$1:$F$388,2,FALSE)</f>
        <v>0</v>
      </c>
      <c r="C193" t="s">
        <v>3661</v>
      </c>
      <c r="D193" t="s">
        <v>3585</v>
      </c>
      <c r="E193" t="s">
        <v>3580</v>
      </c>
      <c r="F193" t="s">
        <v>3586</v>
      </c>
      <c r="G193" s="189"/>
    </row>
    <row r="194" spans="1:7" x14ac:dyDescent="0.35">
      <c r="A194" s="189" t="s">
        <v>3508</v>
      </c>
      <c r="B194" s="64">
        <f>VLOOKUP(A194,'ACS 2017 Cook Co'!$A$1:$F$388,2,FALSE) - VLOOKUP(A194,'ACS 2017 Chicago'!$A$1:$F$388,2,FALSE)</f>
        <v>21110</v>
      </c>
      <c r="C194" t="s">
        <v>3662</v>
      </c>
      <c r="D194" t="s">
        <v>3585</v>
      </c>
      <c r="E194" t="s">
        <v>3580</v>
      </c>
      <c r="F194" t="s">
        <v>3586</v>
      </c>
      <c r="G194" s="189"/>
    </row>
    <row r="195" spans="1:7" x14ac:dyDescent="0.35">
      <c r="A195" s="189" t="s">
        <v>3509</v>
      </c>
      <c r="B195" s="64">
        <f>VLOOKUP(A195,'ACS 2017 Cook Co'!$A$1:$F$388,2,FALSE) - VLOOKUP(A195,'ACS 2017 Chicago'!$A$1:$F$388,2,FALSE)</f>
        <v>16415</v>
      </c>
      <c r="C195" t="s">
        <v>3663</v>
      </c>
      <c r="D195" t="s">
        <v>3585</v>
      </c>
      <c r="E195" t="s">
        <v>3580</v>
      </c>
      <c r="F195" t="s">
        <v>3586</v>
      </c>
      <c r="G195" s="189"/>
    </row>
    <row r="196" spans="1:7" x14ac:dyDescent="0.35">
      <c r="A196" s="189" t="s">
        <v>3510</v>
      </c>
      <c r="B196" s="64">
        <f>VLOOKUP(A196,'ACS 2017 Cook Co'!$A$1:$F$388,2,FALSE) - VLOOKUP(A196,'ACS 2017 Chicago'!$A$1:$F$388,2,FALSE)</f>
        <v>4695</v>
      </c>
      <c r="C196" t="s">
        <v>3664</v>
      </c>
      <c r="D196" t="s">
        <v>3585</v>
      </c>
      <c r="E196" t="s">
        <v>3580</v>
      </c>
      <c r="F196" t="s">
        <v>3586</v>
      </c>
      <c r="G196" s="189"/>
    </row>
    <row r="197" spans="1:7" x14ac:dyDescent="0.35">
      <c r="A197" s="189" t="s">
        <v>3511</v>
      </c>
      <c r="B197" s="64">
        <f>VLOOKUP(A197,'ACS 2017 Cook Co'!$A$1:$F$388,2,FALSE) - VLOOKUP(A197,'ACS 2017 Chicago'!$A$1:$F$388,2,FALSE)</f>
        <v>39644</v>
      </c>
      <c r="C197" t="s">
        <v>3665</v>
      </c>
      <c r="D197" t="s">
        <v>3585</v>
      </c>
      <c r="E197" t="s">
        <v>3580</v>
      </c>
      <c r="F197" t="s">
        <v>3586</v>
      </c>
      <c r="G197" s="189"/>
    </row>
    <row r="198" spans="1:7" x14ac:dyDescent="0.35">
      <c r="A198" s="189" t="s">
        <v>3512</v>
      </c>
      <c r="B198" s="64">
        <f>VLOOKUP(A198,'ACS 2017 Cook Co'!$A$1:$F$388,2,FALSE) - VLOOKUP(A198,'ACS 2017 Chicago'!$A$1:$F$388,2,FALSE)</f>
        <v>27675</v>
      </c>
      <c r="C198" t="s">
        <v>3666</v>
      </c>
      <c r="D198" t="s">
        <v>3585</v>
      </c>
      <c r="E198" t="s">
        <v>3580</v>
      </c>
      <c r="F198" t="s">
        <v>3586</v>
      </c>
      <c r="G198" s="189"/>
    </row>
    <row r="199" spans="1:7" x14ac:dyDescent="0.35">
      <c r="A199" s="189" t="s">
        <v>3513</v>
      </c>
      <c r="B199" s="64">
        <f>VLOOKUP(A199,'ACS 2017 Cook Co'!$A$1:$F$388,2,FALSE) - VLOOKUP(A199,'ACS 2017 Chicago'!$A$1:$F$388,2,FALSE)</f>
        <v>18836</v>
      </c>
      <c r="C199" t="s">
        <v>3667</v>
      </c>
      <c r="D199" t="s">
        <v>3585</v>
      </c>
      <c r="E199" t="s">
        <v>3580</v>
      </c>
      <c r="F199" t="s">
        <v>3586</v>
      </c>
      <c r="G199" s="189"/>
    </row>
    <row r="200" spans="1:7" x14ac:dyDescent="0.35">
      <c r="A200" s="189" t="s">
        <v>3514</v>
      </c>
      <c r="B200" s="64">
        <f>VLOOKUP(A200,'ACS 2017 Cook Co'!$A$1:$F$388,2,FALSE) - VLOOKUP(A200,'ACS 2017 Chicago'!$A$1:$F$388,2,FALSE)</f>
        <v>26</v>
      </c>
      <c r="C200" t="s">
        <v>3668</v>
      </c>
      <c r="D200" t="s">
        <v>3585</v>
      </c>
      <c r="E200" t="s">
        <v>3580</v>
      </c>
      <c r="F200" t="s">
        <v>3586</v>
      </c>
      <c r="G200" s="189"/>
    </row>
    <row r="201" spans="1:7" x14ac:dyDescent="0.35">
      <c r="A201" s="189" t="s">
        <v>3515</v>
      </c>
      <c r="B201" s="64">
        <f>VLOOKUP(A201,'ACS 2017 Cook Co'!$A$1:$F$388,2,FALSE) - VLOOKUP(A201,'ACS 2017 Chicago'!$A$1:$F$388,2,FALSE)</f>
        <v>18810</v>
      </c>
      <c r="C201" t="s">
        <v>3669</v>
      </c>
      <c r="D201" t="s">
        <v>3585</v>
      </c>
      <c r="E201" t="s">
        <v>3580</v>
      </c>
      <c r="F201" t="s">
        <v>3586</v>
      </c>
      <c r="G201" s="189"/>
    </row>
    <row r="202" spans="1:7" x14ac:dyDescent="0.35">
      <c r="A202" s="189" t="s">
        <v>3516</v>
      </c>
      <c r="B202" s="64">
        <f>VLOOKUP(A202,'ACS 2017 Cook Co'!$A$1:$F$388,2,FALSE) - VLOOKUP(A202,'ACS 2017 Chicago'!$A$1:$F$388,2,FALSE)</f>
        <v>16122</v>
      </c>
      <c r="C202" t="s">
        <v>3670</v>
      </c>
      <c r="D202" t="s">
        <v>3585</v>
      </c>
      <c r="E202" t="s">
        <v>3580</v>
      </c>
      <c r="F202" t="s">
        <v>3586</v>
      </c>
      <c r="G202" s="189"/>
    </row>
    <row r="203" spans="1:7" x14ac:dyDescent="0.35">
      <c r="A203" s="189" t="s">
        <v>3517</v>
      </c>
      <c r="B203" s="64">
        <f>VLOOKUP(A203,'ACS 2017 Cook Co'!$A$1:$F$388,2,FALSE) - VLOOKUP(A203,'ACS 2017 Chicago'!$A$1:$F$388,2,FALSE)</f>
        <v>2688</v>
      </c>
      <c r="C203" t="s">
        <v>3671</v>
      </c>
      <c r="D203" t="s">
        <v>3585</v>
      </c>
      <c r="E203" t="s">
        <v>3580</v>
      </c>
      <c r="F203" t="s">
        <v>3586</v>
      </c>
      <c r="G203" s="189"/>
    </row>
    <row r="204" spans="1:7" x14ac:dyDescent="0.35">
      <c r="A204" s="189" t="s">
        <v>3518</v>
      </c>
      <c r="B204" s="64">
        <f>VLOOKUP(A204,'ACS 2017 Cook Co'!$A$1:$F$388,2,FALSE) - VLOOKUP(A204,'ACS 2017 Chicago'!$A$1:$F$388,2,FALSE)</f>
        <v>8839</v>
      </c>
      <c r="C204" t="s">
        <v>3672</v>
      </c>
      <c r="D204" t="s">
        <v>3585</v>
      </c>
      <c r="E204" t="s">
        <v>3580</v>
      </c>
      <c r="F204" t="s">
        <v>3586</v>
      </c>
      <c r="G204" s="189"/>
    </row>
    <row r="205" spans="1:7" x14ac:dyDescent="0.35">
      <c r="A205" s="189" t="s">
        <v>3519</v>
      </c>
      <c r="B205" s="64">
        <f>VLOOKUP(A205,'ACS 2017 Cook Co'!$A$1:$F$388,2,FALSE) - VLOOKUP(A205,'ACS 2017 Chicago'!$A$1:$F$388,2,FALSE)</f>
        <v>44331</v>
      </c>
      <c r="C205" t="s">
        <v>3673</v>
      </c>
      <c r="D205" t="s">
        <v>3585</v>
      </c>
      <c r="E205" t="s">
        <v>3580</v>
      </c>
      <c r="F205" t="s">
        <v>3586</v>
      </c>
      <c r="G205" s="189"/>
    </row>
    <row r="206" spans="1:7" x14ac:dyDescent="0.35">
      <c r="A206" s="189" t="s">
        <v>3520</v>
      </c>
      <c r="B206" s="64">
        <f>VLOOKUP(A206,'ACS 2017 Cook Co'!$A$1:$F$388,2,FALSE) - VLOOKUP(A206,'ACS 2017 Chicago'!$A$1:$F$388,2,FALSE)</f>
        <v>34611</v>
      </c>
      <c r="C206" t="s">
        <v>3674</v>
      </c>
      <c r="D206" t="s">
        <v>3585</v>
      </c>
      <c r="E206" t="s">
        <v>3580</v>
      </c>
      <c r="F206" t="s">
        <v>3586</v>
      </c>
      <c r="G206" s="189"/>
    </row>
    <row r="207" spans="1:7" x14ac:dyDescent="0.35">
      <c r="A207" s="189" t="s">
        <v>3521</v>
      </c>
      <c r="B207" s="64">
        <f>VLOOKUP(A207,'ACS 2017 Cook Co'!$A$1:$F$388,2,FALSE) - VLOOKUP(A207,'ACS 2017 Chicago'!$A$1:$F$388,2,FALSE)</f>
        <v>0</v>
      </c>
      <c r="C207" t="s">
        <v>3675</v>
      </c>
      <c r="D207" t="s">
        <v>3585</v>
      </c>
      <c r="E207" t="s">
        <v>3580</v>
      </c>
      <c r="F207" t="s">
        <v>3586</v>
      </c>
      <c r="G207" s="189"/>
    </row>
    <row r="208" spans="1:7" x14ac:dyDescent="0.35">
      <c r="A208" s="189" t="s">
        <v>3522</v>
      </c>
      <c r="B208" s="64">
        <f>VLOOKUP(A208,'ACS 2017 Cook Co'!$A$1:$F$388,2,FALSE) - VLOOKUP(A208,'ACS 2017 Chicago'!$A$1:$F$388,2,FALSE)</f>
        <v>34611</v>
      </c>
      <c r="C208" t="s">
        <v>3676</v>
      </c>
      <c r="D208" t="s">
        <v>3585</v>
      </c>
      <c r="E208" t="s">
        <v>3580</v>
      </c>
      <c r="F208" t="s">
        <v>3586</v>
      </c>
      <c r="G208" s="189"/>
    </row>
    <row r="209" spans="1:7" x14ac:dyDescent="0.35">
      <c r="A209" s="189" t="s">
        <v>3523</v>
      </c>
      <c r="B209" s="64">
        <f>VLOOKUP(A209,'ACS 2017 Cook Co'!$A$1:$F$388,2,FALSE) - VLOOKUP(A209,'ACS 2017 Chicago'!$A$1:$F$388,2,FALSE)</f>
        <v>30520</v>
      </c>
      <c r="C209" t="s">
        <v>3677</v>
      </c>
      <c r="D209" t="s">
        <v>3585</v>
      </c>
      <c r="E209" t="s">
        <v>3580</v>
      </c>
      <c r="F209" t="s">
        <v>3586</v>
      </c>
      <c r="G209" s="189"/>
    </row>
    <row r="210" spans="1:7" x14ac:dyDescent="0.35">
      <c r="A210" s="189" t="s">
        <v>3524</v>
      </c>
      <c r="B210" s="64">
        <f>VLOOKUP(A210,'ACS 2017 Cook Co'!$A$1:$F$388,2,FALSE) - VLOOKUP(A210,'ACS 2017 Chicago'!$A$1:$F$388,2,FALSE)</f>
        <v>4091</v>
      </c>
      <c r="C210" t="s">
        <v>3678</v>
      </c>
      <c r="D210" t="s">
        <v>3585</v>
      </c>
      <c r="E210" t="s">
        <v>3580</v>
      </c>
      <c r="F210" t="s">
        <v>3586</v>
      </c>
      <c r="G210" s="189"/>
    </row>
    <row r="211" spans="1:7" x14ac:dyDescent="0.35">
      <c r="A211" s="189" t="s">
        <v>3525</v>
      </c>
      <c r="B211" s="64">
        <f>VLOOKUP(A211,'ACS 2017 Cook Co'!$A$1:$F$388,2,FALSE) - VLOOKUP(A211,'ACS 2017 Chicago'!$A$1:$F$388,2,FALSE)</f>
        <v>9720</v>
      </c>
      <c r="C211" t="s">
        <v>3679</v>
      </c>
      <c r="D211" t="s">
        <v>3585</v>
      </c>
      <c r="E211" t="s">
        <v>3580</v>
      </c>
      <c r="F211" t="s">
        <v>3586</v>
      </c>
      <c r="G211" s="189"/>
    </row>
    <row r="212" spans="1:7" x14ac:dyDescent="0.35">
      <c r="A212" s="189" t="s">
        <v>3526</v>
      </c>
      <c r="B212" s="64">
        <f>VLOOKUP(A212,'ACS 2017 Cook Co'!$A$1:$F$388,2,FALSE) - VLOOKUP(A212,'ACS 2017 Chicago'!$A$1:$F$388,2,FALSE)</f>
        <v>76970</v>
      </c>
      <c r="C212" t="s">
        <v>3680</v>
      </c>
      <c r="D212" t="s">
        <v>3585</v>
      </c>
      <c r="E212" t="s">
        <v>3580</v>
      </c>
      <c r="F212" t="s">
        <v>3586</v>
      </c>
      <c r="G212" s="189"/>
    </row>
    <row r="213" spans="1:7" x14ac:dyDescent="0.35">
      <c r="A213" s="189" t="s">
        <v>3527</v>
      </c>
      <c r="B213" s="64">
        <f>VLOOKUP(A213,'ACS 2017 Cook Co'!$A$1:$F$388,2,FALSE) - VLOOKUP(A213,'ACS 2017 Chicago'!$A$1:$F$388,2,FALSE)</f>
        <v>62336</v>
      </c>
      <c r="C213" t="s">
        <v>3681</v>
      </c>
      <c r="D213" t="s">
        <v>3585</v>
      </c>
      <c r="E213" t="s">
        <v>3580</v>
      </c>
      <c r="F213" t="s">
        <v>3586</v>
      </c>
      <c r="G213" s="189"/>
    </row>
    <row r="214" spans="1:7" x14ac:dyDescent="0.35">
      <c r="A214" s="189" t="s">
        <v>3528</v>
      </c>
      <c r="B214" s="64">
        <f>VLOOKUP(A214,'ACS 2017 Cook Co'!$A$1:$F$388,2,FALSE) - VLOOKUP(A214,'ACS 2017 Chicago'!$A$1:$F$388,2,FALSE)</f>
        <v>11</v>
      </c>
      <c r="C214" t="s">
        <v>3682</v>
      </c>
      <c r="D214" t="s">
        <v>3585</v>
      </c>
      <c r="E214" t="s">
        <v>3580</v>
      </c>
      <c r="F214" t="s">
        <v>3586</v>
      </c>
      <c r="G214" s="189"/>
    </row>
    <row r="215" spans="1:7" x14ac:dyDescent="0.35">
      <c r="A215" s="189" t="s">
        <v>3529</v>
      </c>
      <c r="B215" s="64">
        <f>VLOOKUP(A215,'ACS 2017 Cook Co'!$A$1:$F$388,2,FALSE) - VLOOKUP(A215,'ACS 2017 Chicago'!$A$1:$F$388,2,FALSE)</f>
        <v>62325</v>
      </c>
      <c r="C215" t="s">
        <v>3683</v>
      </c>
      <c r="D215" t="s">
        <v>3585</v>
      </c>
      <c r="E215" t="s">
        <v>3580</v>
      </c>
      <c r="F215" t="s">
        <v>3586</v>
      </c>
      <c r="G215" s="189"/>
    </row>
    <row r="216" spans="1:7" x14ac:dyDescent="0.35">
      <c r="A216" s="189" t="s">
        <v>3530</v>
      </c>
      <c r="B216" s="64">
        <f>VLOOKUP(A216,'ACS 2017 Cook Co'!$A$1:$F$388,2,FALSE) - VLOOKUP(A216,'ACS 2017 Chicago'!$A$1:$F$388,2,FALSE)</f>
        <v>57449</v>
      </c>
      <c r="C216" t="s">
        <v>3684</v>
      </c>
      <c r="D216" t="s">
        <v>3585</v>
      </c>
      <c r="E216" t="s">
        <v>3580</v>
      </c>
      <c r="F216" t="s">
        <v>3586</v>
      </c>
      <c r="G216" s="189"/>
    </row>
    <row r="217" spans="1:7" x14ac:dyDescent="0.35">
      <c r="A217" s="189" t="s">
        <v>3531</v>
      </c>
      <c r="B217" s="64">
        <f>VLOOKUP(A217,'ACS 2017 Cook Co'!$A$1:$F$388,2,FALSE) - VLOOKUP(A217,'ACS 2017 Chicago'!$A$1:$F$388,2,FALSE)</f>
        <v>4876</v>
      </c>
      <c r="C217" t="s">
        <v>3685</v>
      </c>
      <c r="D217" t="s">
        <v>3585</v>
      </c>
      <c r="E217" t="s">
        <v>3580</v>
      </c>
      <c r="F217" t="s">
        <v>3586</v>
      </c>
      <c r="G217" s="189"/>
    </row>
    <row r="218" spans="1:7" x14ac:dyDescent="0.35">
      <c r="A218" s="189" t="s">
        <v>3532</v>
      </c>
      <c r="B218" s="64">
        <f>VLOOKUP(A218,'ACS 2017 Cook Co'!$A$1:$F$388,2,FALSE) - VLOOKUP(A218,'ACS 2017 Chicago'!$A$1:$F$388,2,FALSE)</f>
        <v>14634</v>
      </c>
      <c r="C218" t="s">
        <v>3686</v>
      </c>
      <c r="D218" t="s">
        <v>3585</v>
      </c>
      <c r="E218" t="s">
        <v>3580</v>
      </c>
      <c r="F218" t="s">
        <v>3586</v>
      </c>
      <c r="G218" s="189"/>
    </row>
    <row r="219" spans="1:7" x14ac:dyDescent="0.35">
      <c r="A219" s="189" t="s">
        <v>3533</v>
      </c>
      <c r="B219" s="64">
        <f>VLOOKUP(A219,'ACS 2017 Cook Co'!$A$1:$F$388,2,FALSE) - VLOOKUP(A219,'ACS 2017 Chicago'!$A$1:$F$388,2,FALSE)</f>
        <v>81231</v>
      </c>
      <c r="C219" t="s">
        <v>3687</v>
      </c>
      <c r="D219" t="s">
        <v>3585</v>
      </c>
      <c r="E219" t="s">
        <v>3580</v>
      </c>
      <c r="F219" t="s">
        <v>3586</v>
      </c>
      <c r="G219" s="189"/>
    </row>
    <row r="220" spans="1:7" x14ac:dyDescent="0.35">
      <c r="A220" s="189" t="s">
        <v>3534</v>
      </c>
      <c r="B220" s="64">
        <f>VLOOKUP(A220,'ACS 2017 Cook Co'!$A$1:$F$388,2,FALSE) - VLOOKUP(A220,'ACS 2017 Chicago'!$A$1:$F$388,2,FALSE)</f>
        <v>61121</v>
      </c>
      <c r="C220" t="s">
        <v>3688</v>
      </c>
      <c r="D220" t="s">
        <v>3585</v>
      </c>
      <c r="E220" t="s">
        <v>3580</v>
      </c>
      <c r="F220" t="s">
        <v>3586</v>
      </c>
      <c r="G220" s="189"/>
    </row>
    <row r="221" spans="1:7" x14ac:dyDescent="0.35">
      <c r="A221" s="189" t="s">
        <v>3535</v>
      </c>
      <c r="B221" s="64">
        <f>VLOOKUP(A221,'ACS 2017 Cook Co'!$A$1:$F$388,2,FALSE) - VLOOKUP(A221,'ACS 2017 Chicago'!$A$1:$F$388,2,FALSE)</f>
        <v>16</v>
      </c>
      <c r="C221" t="s">
        <v>3689</v>
      </c>
      <c r="D221" t="s">
        <v>3585</v>
      </c>
      <c r="E221" t="s">
        <v>3580</v>
      </c>
      <c r="F221" t="s">
        <v>3586</v>
      </c>
      <c r="G221" s="189"/>
    </row>
    <row r="222" spans="1:7" x14ac:dyDescent="0.35">
      <c r="A222" s="189" t="s">
        <v>3536</v>
      </c>
      <c r="B222" s="64">
        <f>VLOOKUP(A222,'ACS 2017 Cook Co'!$A$1:$F$388,2,FALSE) - VLOOKUP(A222,'ACS 2017 Chicago'!$A$1:$F$388,2,FALSE)</f>
        <v>61105</v>
      </c>
      <c r="C222" t="s">
        <v>3690</v>
      </c>
      <c r="D222" t="s">
        <v>3585</v>
      </c>
      <c r="E222" t="s">
        <v>3580</v>
      </c>
      <c r="F222" t="s">
        <v>3586</v>
      </c>
      <c r="G222" s="189"/>
    </row>
    <row r="223" spans="1:7" x14ac:dyDescent="0.35">
      <c r="A223" s="189" t="s">
        <v>3537</v>
      </c>
      <c r="B223" s="64">
        <f>VLOOKUP(A223,'ACS 2017 Cook Co'!$A$1:$F$388,2,FALSE) - VLOOKUP(A223,'ACS 2017 Chicago'!$A$1:$F$388,2,FALSE)</f>
        <v>57058</v>
      </c>
      <c r="C223" t="s">
        <v>3691</v>
      </c>
      <c r="D223" t="s">
        <v>3585</v>
      </c>
      <c r="E223" t="s">
        <v>3580</v>
      </c>
      <c r="F223" t="s">
        <v>3586</v>
      </c>
      <c r="G223" s="189"/>
    </row>
    <row r="224" spans="1:7" x14ac:dyDescent="0.35">
      <c r="A224" s="189" t="s">
        <v>3538</v>
      </c>
      <c r="B224" s="64">
        <f>VLOOKUP(A224,'ACS 2017 Cook Co'!$A$1:$F$388,2,FALSE) - VLOOKUP(A224,'ACS 2017 Chicago'!$A$1:$F$388,2,FALSE)</f>
        <v>4047</v>
      </c>
      <c r="C224" t="s">
        <v>3692</v>
      </c>
      <c r="D224" t="s">
        <v>3585</v>
      </c>
      <c r="E224" t="s">
        <v>3580</v>
      </c>
      <c r="F224" t="s">
        <v>3586</v>
      </c>
      <c r="G224" s="189"/>
    </row>
    <row r="225" spans="1:7" x14ac:dyDescent="0.35">
      <c r="A225" s="189" t="s">
        <v>3539</v>
      </c>
      <c r="B225" s="64">
        <f>VLOOKUP(A225,'ACS 2017 Cook Co'!$A$1:$F$388,2,FALSE) - VLOOKUP(A225,'ACS 2017 Chicago'!$A$1:$F$388,2,FALSE)</f>
        <v>20110</v>
      </c>
      <c r="C225" t="s">
        <v>3693</v>
      </c>
      <c r="D225" t="s">
        <v>3585</v>
      </c>
      <c r="E225" t="s">
        <v>3580</v>
      </c>
      <c r="F225" t="s">
        <v>3586</v>
      </c>
      <c r="G225" s="189"/>
    </row>
    <row r="226" spans="1:7" x14ac:dyDescent="0.35">
      <c r="A226" s="189" t="s">
        <v>3540</v>
      </c>
      <c r="B226" s="64">
        <f>VLOOKUP(A226,'ACS 2017 Cook Co'!$A$1:$F$388,2,FALSE) - VLOOKUP(A226,'ACS 2017 Chicago'!$A$1:$F$388,2,FALSE)</f>
        <v>166989</v>
      </c>
      <c r="C226" t="s">
        <v>3694</v>
      </c>
      <c r="D226" t="s">
        <v>3585</v>
      </c>
      <c r="E226" t="s">
        <v>3580</v>
      </c>
      <c r="F226" t="s">
        <v>3586</v>
      </c>
      <c r="G226" s="189"/>
    </row>
    <row r="227" spans="1:7" x14ac:dyDescent="0.35">
      <c r="A227" s="189" t="s">
        <v>3541</v>
      </c>
      <c r="B227" s="64">
        <f>VLOOKUP(A227,'ACS 2017 Cook Co'!$A$1:$F$388,2,FALSE) - VLOOKUP(A227,'ACS 2017 Chicago'!$A$1:$F$388,2,FALSE)</f>
        <v>126668</v>
      </c>
      <c r="C227" t="s">
        <v>3695</v>
      </c>
      <c r="D227" t="s">
        <v>3585</v>
      </c>
      <c r="E227" t="s">
        <v>3580</v>
      </c>
      <c r="F227" t="s">
        <v>3586</v>
      </c>
      <c r="G227" s="189"/>
    </row>
    <row r="228" spans="1:7" x14ac:dyDescent="0.35">
      <c r="A228" s="189" t="s">
        <v>3542</v>
      </c>
      <c r="B228" s="64">
        <f>VLOOKUP(A228,'ACS 2017 Cook Co'!$A$1:$F$388,2,FALSE) - VLOOKUP(A228,'ACS 2017 Chicago'!$A$1:$F$388,2,FALSE)</f>
        <v>9</v>
      </c>
      <c r="C228" t="s">
        <v>3696</v>
      </c>
      <c r="D228" t="s">
        <v>3585</v>
      </c>
      <c r="E228" t="s">
        <v>3580</v>
      </c>
      <c r="F228" t="s">
        <v>3586</v>
      </c>
      <c r="G228" s="189"/>
    </row>
    <row r="229" spans="1:7" x14ac:dyDescent="0.35">
      <c r="A229" s="189" t="s">
        <v>3543</v>
      </c>
      <c r="B229" s="64">
        <f>VLOOKUP(A229,'ACS 2017 Cook Co'!$A$1:$F$388,2,FALSE) - VLOOKUP(A229,'ACS 2017 Chicago'!$A$1:$F$388,2,FALSE)</f>
        <v>126659</v>
      </c>
      <c r="C229" t="s">
        <v>3697</v>
      </c>
      <c r="D229" t="s">
        <v>3585</v>
      </c>
      <c r="E229" t="s">
        <v>3580</v>
      </c>
      <c r="F229" t="s">
        <v>3586</v>
      </c>
      <c r="G229" s="189"/>
    </row>
    <row r="230" spans="1:7" x14ac:dyDescent="0.35">
      <c r="A230" s="189" t="s">
        <v>3544</v>
      </c>
      <c r="B230" s="64">
        <f>VLOOKUP(A230,'ACS 2017 Cook Co'!$A$1:$F$388,2,FALSE) - VLOOKUP(A230,'ACS 2017 Chicago'!$A$1:$F$388,2,FALSE)</f>
        <v>119256</v>
      </c>
      <c r="C230" t="s">
        <v>3698</v>
      </c>
      <c r="D230" t="s">
        <v>3585</v>
      </c>
      <c r="E230" t="s">
        <v>3580</v>
      </c>
      <c r="F230" t="s">
        <v>3586</v>
      </c>
      <c r="G230" s="189"/>
    </row>
    <row r="231" spans="1:7" x14ac:dyDescent="0.35">
      <c r="A231" s="189" t="s">
        <v>3545</v>
      </c>
      <c r="B231" s="64">
        <f>VLOOKUP(A231,'ACS 2017 Cook Co'!$A$1:$F$388,2,FALSE) - VLOOKUP(A231,'ACS 2017 Chicago'!$A$1:$F$388,2,FALSE)</f>
        <v>7403</v>
      </c>
      <c r="C231" t="s">
        <v>3699</v>
      </c>
      <c r="D231" t="s">
        <v>3585</v>
      </c>
      <c r="E231" t="s">
        <v>3580</v>
      </c>
      <c r="F231" t="s">
        <v>3586</v>
      </c>
      <c r="G231" s="189"/>
    </row>
    <row r="232" spans="1:7" x14ac:dyDescent="0.35">
      <c r="A232" s="189" t="s">
        <v>3546</v>
      </c>
      <c r="B232" s="64">
        <f>VLOOKUP(A232,'ACS 2017 Cook Co'!$A$1:$F$388,2,FALSE) - VLOOKUP(A232,'ACS 2017 Chicago'!$A$1:$F$388,2,FALSE)</f>
        <v>40321</v>
      </c>
      <c r="C232" t="s">
        <v>3700</v>
      </c>
      <c r="D232" t="s">
        <v>3585</v>
      </c>
      <c r="E232" t="s">
        <v>3580</v>
      </c>
      <c r="F232" t="s">
        <v>3586</v>
      </c>
      <c r="G232" s="189"/>
    </row>
    <row r="233" spans="1:7" x14ac:dyDescent="0.35">
      <c r="A233" s="189" t="s">
        <v>3547</v>
      </c>
      <c r="B233" s="64">
        <f>VLOOKUP(A233,'ACS 2017 Cook Co'!$A$1:$F$388,2,FALSE) - VLOOKUP(A233,'ACS 2017 Chicago'!$A$1:$F$388,2,FALSE)</f>
        <v>180882</v>
      </c>
      <c r="C233" t="s">
        <v>3701</v>
      </c>
      <c r="D233" t="s">
        <v>3585</v>
      </c>
      <c r="E233" t="s">
        <v>3580</v>
      </c>
      <c r="F233" t="s">
        <v>3586</v>
      </c>
      <c r="G233" s="189"/>
    </row>
    <row r="234" spans="1:7" x14ac:dyDescent="0.35">
      <c r="A234" s="189" t="s">
        <v>3548</v>
      </c>
      <c r="B234" s="64">
        <f>VLOOKUP(A234,'ACS 2017 Cook Co'!$A$1:$F$388,2,FALSE) - VLOOKUP(A234,'ACS 2017 Chicago'!$A$1:$F$388,2,FALSE)</f>
        <v>141635</v>
      </c>
      <c r="C234" t="s">
        <v>3702</v>
      </c>
      <c r="D234" t="s">
        <v>3585</v>
      </c>
      <c r="E234" t="s">
        <v>3580</v>
      </c>
      <c r="F234" t="s">
        <v>3586</v>
      </c>
      <c r="G234" s="189"/>
    </row>
    <row r="235" spans="1:7" x14ac:dyDescent="0.35">
      <c r="A235" s="189" t="s">
        <v>3549</v>
      </c>
      <c r="B235" s="64">
        <f>VLOOKUP(A235,'ACS 2017 Cook Co'!$A$1:$F$388,2,FALSE) - VLOOKUP(A235,'ACS 2017 Chicago'!$A$1:$F$388,2,FALSE)</f>
        <v>5</v>
      </c>
      <c r="C235" t="s">
        <v>3703</v>
      </c>
      <c r="D235" t="s">
        <v>3585</v>
      </c>
      <c r="E235" t="s">
        <v>3580</v>
      </c>
      <c r="F235" t="s">
        <v>3586</v>
      </c>
      <c r="G235" s="189"/>
    </row>
    <row r="236" spans="1:7" x14ac:dyDescent="0.35">
      <c r="A236" s="189" t="s">
        <v>3550</v>
      </c>
      <c r="B236" s="64">
        <f>VLOOKUP(A236,'ACS 2017 Cook Co'!$A$1:$F$388,2,FALSE) - VLOOKUP(A236,'ACS 2017 Chicago'!$A$1:$F$388,2,FALSE)</f>
        <v>141630</v>
      </c>
      <c r="C236" t="s">
        <v>3704</v>
      </c>
      <c r="D236" t="s">
        <v>3585</v>
      </c>
      <c r="E236" t="s">
        <v>3580</v>
      </c>
      <c r="F236" t="s">
        <v>3586</v>
      </c>
      <c r="G236" s="189"/>
    </row>
    <row r="237" spans="1:7" x14ac:dyDescent="0.35">
      <c r="A237" s="189" t="s">
        <v>3551</v>
      </c>
      <c r="B237" s="64">
        <f>VLOOKUP(A237,'ACS 2017 Cook Co'!$A$1:$F$388,2,FALSE) - VLOOKUP(A237,'ACS 2017 Chicago'!$A$1:$F$388,2,FALSE)</f>
        <v>133276</v>
      </c>
      <c r="C237" t="s">
        <v>3705</v>
      </c>
      <c r="D237" t="s">
        <v>3585</v>
      </c>
      <c r="E237" t="s">
        <v>3580</v>
      </c>
      <c r="F237" t="s">
        <v>3586</v>
      </c>
      <c r="G237" s="189"/>
    </row>
    <row r="238" spans="1:7" x14ac:dyDescent="0.35">
      <c r="A238" s="189" t="s">
        <v>3552</v>
      </c>
      <c r="B238" s="64">
        <f>VLOOKUP(A238,'ACS 2017 Cook Co'!$A$1:$F$388,2,FALSE) - VLOOKUP(A238,'ACS 2017 Chicago'!$A$1:$F$388,2,FALSE)</f>
        <v>8354</v>
      </c>
      <c r="C238" t="s">
        <v>3706</v>
      </c>
      <c r="D238" t="s">
        <v>3585</v>
      </c>
      <c r="E238" t="s">
        <v>3580</v>
      </c>
      <c r="F238" t="s">
        <v>3586</v>
      </c>
      <c r="G238" s="189"/>
    </row>
    <row r="239" spans="1:7" x14ac:dyDescent="0.35">
      <c r="A239" s="189" t="s">
        <v>3553</v>
      </c>
      <c r="B239" s="64">
        <f>VLOOKUP(A239,'ACS 2017 Cook Co'!$A$1:$F$388,2,FALSE) - VLOOKUP(A239,'ACS 2017 Chicago'!$A$1:$F$388,2,FALSE)</f>
        <v>39247</v>
      </c>
      <c r="C239" t="s">
        <v>3707</v>
      </c>
      <c r="D239" t="s">
        <v>3585</v>
      </c>
      <c r="E239" t="s">
        <v>3580</v>
      </c>
      <c r="F239" t="s">
        <v>3586</v>
      </c>
      <c r="G239" s="189"/>
    </row>
    <row r="240" spans="1:7" x14ac:dyDescent="0.35">
      <c r="A240" s="189" t="s">
        <v>3554</v>
      </c>
      <c r="B240" s="64">
        <f>VLOOKUP(A240,'ACS 2017 Cook Co'!$A$1:$F$388,2,FALSE) - VLOOKUP(A240,'ACS 2017 Chicago'!$A$1:$F$388,2,FALSE)</f>
        <v>94055</v>
      </c>
      <c r="C240" t="s">
        <v>3708</v>
      </c>
      <c r="D240" t="s">
        <v>3585</v>
      </c>
      <c r="E240" t="s">
        <v>3580</v>
      </c>
      <c r="F240" t="s">
        <v>3586</v>
      </c>
      <c r="G240" s="189"/>
    </row>
    <row r="241" spans="1:6" x14ac:dyDescent="0.35">
      <c r="A241" s="189" t="s">
        <v>3555</v>
      </c>
      <c r="B241" s="64">
        <f>VLOOKUP(A241,'ACS 2017 Cook Co'!$A$1:$F$388,2,FALSE) - VLOOKUP(A241,'ACS 2017 Chicago'!$A$1:$F$388,2,FALSE)</f>
        <v>68110</v>
      </c>
      <c r="C241" t="s">
        <v>3709</v>
      </c>
      <c r="D241" t="s">
        <v>3585</v>
      </c>
      <c r="E241" t="s">
        <v>3580</v>
      </c>
      <c r="F241" t="s">
        <v>3586</v>
      </c>
    </row>
    <row r="242" spans="1:6" x14ac:dyDescent="0.35">
      <c r="A242" s="189" t="s">
        <v>3556</v>
      </c>
      <c r="B242" s="64">
        <f>VLOOKUP(A242,'ACS 2017 Cook Co'!$A$1:$F$388,2,FALSE) - VLOOKUP(A242,'ACS 2017 Chicago'!$A$1:$F$388,2,FALSE)</f>
        <v>0</v>
      </c>
      <c r="C242" t="s">
        <v>3710</v>
      </c>
      <c r="D242" t="s">
        <v>3585</v>
      </c>
      <c r="E242" t="s">
        <v>3580</v>
      </c>
      <c r="F242" t="s">
        <v>3586</v>
      </c>
    </row>
    <row r="243" spans="1:6" x14ac:dyDescent="0.35">
      <c r="A243" s="189" t="s">
        <v>3557</v>
      </c>
      <c r="B243" s="64">
        <f>VLOOKUP(A243,'ACS 2017 Cook Co'!$A$1:$F$388,2,FALSE) - VLOOKUP(A243,'ACS 2017 Chicago'!$A$1:$F$388,2,FALSE)</f>
        <v>68110</v>
      </c>
      <c r="C243" t="s">
        <v>3711</v>
      </c>
      <c r="D243" t="s">
        <v>3585</v>
      </c>
      <c r="E243" t="s">
        <v>3580</v>
      </c>
      <c r="F243" t="s">
        <v>3586</v>
      </c>
    </row>
    <row r="244" spans="1:6" x14ac:dyDescent="0.35">
      <c r="A244" s="189" t="s">
        <v>3558</v>
      </c>
      <c r="B244" s="64">
        <f>VLOOKUP(A244,'ACS 2017 Cook Co'!$A$1:$F$388,2,FALSE) - VLOOKUP(A244,'ACS 2017 Chicago'!$A$1:$F$388,2,FALSE)</f>
        <v>64485</v>
      </c>
      <c r="C244" t="s">
        <v>3712</v>
      </c>
      <c r="D244" t="s">
        <v>3585</v>
      </c>
      <c r="E244" t="s">
        <v>3580</v>
      </c>
      <c r="F244" t="s">
        <v>3586</v>
      </c>
    </row>
    <row r="245" spans="1:6" x14ac:dyDescent="0.35">
      <c r="A245" s="189" t="s">
        <v>3559</v>
      </c>
      <c r="B245" s="64">
        <f>VLOOKUP(A245,'ACS 2017 Cook Co'!$A$1:$F$388,2,FALSE) - VLOOKUP(A245,'ACS 2017 Chicago'!$A$1:$F$388,2,FALSE)</f>
        <v>3625</v>
      </c>
      <c r="C245" t="s">
        <v>3713</v>
      </c>
      <c r="D245" t="s">
        <v>3585</v>
      </c>
      <c r="E245" t="s">
        <v>3580</v>
      </c>
      <c r="F245" t="s">
        <v>3586</v>
      </c>
    </row>
    <row r="246" spans="1:6" s="189" customFormat="1" x14ac:dyDescent="0.35">
      <c r="A246" s="189" t="s">
        <v>3560</v>
      </c>
      <c r="B246" s="64">
        <f>VLOOKUP(A246,'ACS 2017 Cook Co'!$A$1:$F$388,2,FALSE) - VLOOKUP(A246,'ACS 2017 Chicago'!$A$1:$F$388,2,FALSE)</f>
        <v>25945</v>
      </c>
      <c r="C246" s="189" t="s">
        <v>3714</v>
      </c>
      <c r="D246" s="189" t="s">
        <v>3585</v>
      </c>
      <c r="E246" s="189" t="s">
        <v>3580</v>
      </c>
      <c r="F246" s="189" t="s">
        <v>3586</v>
      </c>
    </row>
    <row r="247" spans="1:6" s="189" customFormat="1" x14ac:dyDescent="0.35">
      <c r="A247" s="189" t="s">
        <v>3561</v>
      </c>
      <c r="B247" s="64">
        <f>VLOOKUP(A247,'ACS 2017 Cook Co'!$A$1:$F$388,2,FALSE) - VLOOKUP(A247,'ACS 2017 Chicago'!$A$1:$F$388,2,FALSE)</f>
        <v>36511</v>
      </c>
      <c r="C247" s="189" t="s">
        <v>3715</v>
      </c>
      <c r="D247" s="189" t="s">
        <v>3585</v>
      </c>
      <c r="E247" s="189" t="s">
        <v>3580</v>
      </c>
      <c r="F247" s="189" t="s">
        <v>3586</v>
      </c>
    </row>
    <row r="248" spans="1:6" s="189" customFormat="1" x14ac:dyDescent="0.35">
      <c r="A248" s="189" t="s">
        <v>3562</v>
      </c>
      <c r="B248" s="64">
        <f>VLOOKUP(A248,'ACS 2017 Cook Co'!$A$1:$F$388,2,FALSE) - VLOOKUP(A248,'ACS 2017 Chicago'!$A$1:$F$388,2,FALSE)</f>
        <v>23072</v>
      </c>
      <c r="C248" s="189" t="s">
        <v>3716</v>
      </c>
      <c r="D248" s="189" t="s">
        <v>3585</v>
      </c>
      <c r="E248" s="189" t="s">
        <v>3580</v>
      </c>
      <c r="F248" s="189" t="s">
        <v>3586</v>
      </c>
    </row>
    <row r="249" spans="1:6" s="189" customFormat="1" x14ac:dyDescent="0.35">
      <c r="A249" s="189" t="s">
        <v>3563</v>
      </c>
      <c r="B249" s="64">
        <f>VLOOKUP(A249,'ACS 2017 Cook Co'!$A$1:$F$388,2,FALSE) - VLOOKUP(A249,'ACS 2017 Chicago'!$A$1:$F$388,2,FALSE)</f>
        <v>0</v>
      </c>
      <c r="C249" s="189" t="s">
        <v>3717</v>
      </c>
      <c r="D249" s="189" t="s">
        <v>3585</v>
      </c>
      <c r="E249" s="189" t="s">
        <v>3580</v>
      </c>
      <c r="F249" s="189" t="s">
        <v>3586</v>
      </c>
    </row>
    <row r="250" spans="1:6" s="189" customFormat="1" x14ac:dyDescent="0.35">
      <c r="A250" s="189" t="s">
        <v>3564</v>
      </c>
      <c r="B250" s="64">
        <f>VLOOKUP(A250,'ACS 2017 Cook Co'!$A$1:$F$388,2,FALSE) - VLOOKUP(A250,'ACS 2017 Chicago'!$A$1:$F$388,2,FALSE)</f>
        <v>23072</v>
      </c>
      <c r="C250" s="189" t="s">
        <v>3718</v>
      </c>
      <c r="D250" s="189" t="s">
        <v>3585</v>
      </c>
      <c r="E250" s="189" t="s">
        <v>3580</v>
      </c>
      <c r="F250" s="189" t="s">
        <v>3586</v>
      </c>
    </row>
    <row r="251" spans="1:6" s="189" customFormat="1" x14ac:dyDescent="0.35">
      <c r="A251" s="189" t="s">
        <v>3565</v>
      </c>
      <c r="B251" s="64">
        <f>VLOOKUP(A251,'ACS 2017 Cook Co'!$A$1:$F$388,2,FALSE) - VLOOKUP(A251,'ACS 2017 Chicago'!$A$1:$F$388,2,FALSE)</f>
        <v>22052</v>
      </c>
      <c r="C251" s="189" t="s">
        <v>3719</v>
      </c>
      <c r="D251" s="189" t="s">
        <v>3585</v>
      </c>
      <c r="E251" s="189" t="s">
        <v>3580</v>
      </c>
      <c r="F251" s="189" t="s">
        <v>3586</v>
      </c>
    </row>
    <row r="252" spans="1:6" s="189" customFormat="1" x14ac:dyDescent="0.35">
      <c r="A252" s="189" t="s">
        <v>3566</v>
      </c>
      <c r="B252" s="64">
        <f>VLOOKUP(A252,'ACS 2017 Cook Co'!$A$1:$F$388,2,FALSE) - VLOOKUP(A252,'ACS 2017 Chicago'!$A$1:$F$388,2,FALSE)</f>
        <v>1020</v>
      </c>
      <c r="C252" s="189" t="s">
        <v>3720</v>
      </c>
      <c r="D252" s="189" t="s">
        <v>3585</v>
      </c>
      <c r="E252" s="189" t="s">
        <v>3580</v>
      </c>
      <c r="F252" s="189" t="s">
        <v>3586</v>
      </c>
    </row>
    <row r="253" spans="1:6" s="189" customFormat="1" x14ac:dyDescent="0.35">
      <c r="A253" s="189" t="s">
        <v>3567</v>
      </c>
      <c r="B253" s="64">
        <f>VLOOKUP(A253,'ACS 2017 Cook Co'!$A$1:$F$388,2,FALSE) - VLOOKUP(A253,'ACS 2017 Chicago'!$A$1:$F$388,2,FALSE)</f>
        <v>13439</v>
      </c>
      <c r="C253" s="189" t="s">
        <v>3721</v>
      </c>
      <c r="D253" s="189" t="s">
        <v>3585</v>
      </c>
      <c r="E253" s="189" t="s">
        <v>3580</v>
      </c>
      <c r="F253" s="189" t="s">
        <v>3586</v>
      </c>
    </row>
    <row r="254" spans="1:6" s="189" customFormat="1" x14ac:dyDescent="0.35">
      <c r="A254" s="189" t="s">
        <v>3568</v>
      </c>
      <c r="B254" s="64">
        <f>VLOOKUP(A254,'ACS 2017 Cook Co'!$A$1:$F$388,2,FALSE) - VLOOKUP(A254,'ACS 2017 Chicago'!$A$1:$F$388,2,FALSE)</f>
        <v>48220</v>
      </c>
      <c r="C254" s="189" t="s">
        <v>3722</v>
      </c>
      <c r="D254" s="189" t="s">
        <v>3585</v>
      </c>
      <c r="E254" s="189" t="s">
        <v>3580</v>
      </c>
      <c r="F254" s="189" t="s">
        <v>3586</v>
      </c>
    </row>
    <row r="255" spans="1:6" s="189" customFormat="1" x14ac:dyDescent="0.35">
      <c r="A255" s="189" t="s">
        <v>3569</v>
      </c>
      <c r="B255" s="64">
        <f>VLOOKUP(A255,'ACS 2017 Cook Co'!$A$1:$F$388,2,FALSE) - VLOOKUP(A255,'ACS 2017 Chicago'!$A$1:$F$388,2,FALSE)</f>
        <v>24972</v>
      </c>
      <c r="C255" s="189" t="s">
        <v>3723</v>
      </c>
      <c r="D255" s="189" t="s">
        <v>3585</v>
      </c>
      <c r="E255" s="189" t="s">
        <v>3580</v>
      </c>
      <c r="F255" s="189" t="s">
        <v>3586</v>
      </c>
    </row>
    <row r="256" spans="1:6" s="189" customFormat="1" x14ac:dyDescent="0.35">
      <c r="A256" s="189" t="s">
        <v>3570</v>
      </c>
      <c r="B256" s="64">
        <f>VLOOKUP(A256,'ACS 2017 Cook Co'!$A$1:$F$388,2,FALSE) - VLOOKUP(A256,'ACS 2017 Chicago'!$A$1:$F$388,2,FALSE)</f>
        <v>0</v>
      </c>
      <c r="C256" s="189" t="s">
        <v>3724</v>
      </c>
      <c r="D256" s="189" t="s">
        <v>3585</v>
      </c>
      <c r="E256" s="189" t="s">
        <v>3580</v>
      </c>
      <c r="F256" s="189" t="s">
        <v>3586</v>
      </c>
    </row>
    <row r="257" spans="1:6" s="189" customFormat="1" x14ac:dyDescent="0.35">
      <c r="A257" s="189" t="s">
        <v>3571</v>
      </c>
      <c r="B257" s="64">
        <f>VLOOKUP(A257,'ACS 2017 Cook Co'!$A$1:$F$388,2,FALSE) - VLOOKUP(A257,'ACS 2017 Chicago'!$A$1:$F$388,2,FALSE)</f>
        <v>24972</v>
      </c>
      <c r="C257" s="189" t="s">
        <v>3725</v>
      </c>
      <c r="D257" s="189" t="s">
        <v>3585</v>
      </c>
      <c r="E257" s="189" t="s">
        <v>3580</v>
      </c>
      <c r="F257" s="189" t="s">
        <v>3586</v>
      </c>
    </row>
    <row r="258" spans="1:6" s="189" customFormat="1" x14ac:dyDescent="0.35">
      <c r="A258" s="189" t="s">
        <v>3572</v>
      </c>
      <c r="B258" s="64">
        <f>VLOOKUP(A258,'ACS 2017 Cook Co'!$A$1:$F$388,2,FALSE) - VLOOKUP(A258,'ACS 2017 Chicago'!$A$1:$F$388,2,FALSE)</f>
        <v>23984</v>
      </c>
      <c r="C258" s="189" t="s">
        <v>3726</v>
      </c>
      <c r="D258" s="189" t="s">
        <v>3585</v>
      </c>
      <c r="E258" s="189" t="s">
        <v>3580</v>
      </c>
      <c r="F258" s="189" t="s">
        <v>3586</v>
      </c>
    </row>
    <row r="259" spans="1:6" x14ac:dyDescent="0.35">
      <c r="A259" s="189" t="s">
        <v>3573</v>
      </c>
      <c r="B259" s="64">
        <f>VLOOKUP(A259,'ACS 2017 Cook Co'!$A$1:$F$388,2,FALSE) - VLOOKUP(A259,'ACS 2017 Chicago'!$A$1:$F$388,2,FALSE)</f>
        <v>988</v>
      </c>
      <c r="C259" t="s">
        <v>3727</v>
      </c>
      <c r="D259" t="s">
        <v>3585</v>
      </c>
      <c r="E259" t="s">
        <v>3580</v>
      </c>
      <c r="F259" t="s">
        <v>3586</v>
      </c>
    </row>
    <row r="260" spans="1:6" x14ac:dyDescent="0.35">
      <c r="A260" s="189" t="s">
        <v>3574</v>
      </c>
      <c r="B260" s="64">
        <f>VLOOKUP(A260,'ACS 2017 Cook Co'!$A$1:$F$388,2,FALSE) - VLOOKUP(A260,'ACS 2017 Chicago'!$A$1:$F$388,2,FALSE)</f>
        <v>23248</v>
      </c>
      <c r="C260" t="s">
        <v>3728</v>
      </c>
      <c r="D260" t="s">
        <v>3585</v>
      </c>
      <c r="E260" t="s">
        <v>3580</v>
      </c>
      <c r="F260" t="s">
        <v>3586</v>
      </c>
    </row>
    <row r="261" spans="1:6" x14ac:dyDescent="0.35">
      <c r="A261" s="189" t="s">
        <v>3871</v>
      </c>
      <c r="B261" s="64">
        <f>VLOOKUP(A261,'ACS 2017 Cook Co'!$A$1:$F$388,2,FALSE) - VLOOKUP(A261,'ACS 2017 Chicago'!$A$1:$F$388,2,FALSE)</f>
        <v>1333817</v>
      </c>
      <c r="C261" t="s">
        <v>26</v>
      </c>
      <c r="D261" t="s">
        <v>3983</v>
      </c>
      <c r="E261" t="s">
        <v>3580</v>
      </c>
      <c r="F261" t="s">
        <v>3984</v>
      </c>
    </row>
    <row r="262" spans="1:6" x14ac:dyDescent="0.35">
      <c r="A262" s="189" t="s">
        <v>3872</v>
      </c>
      <c r="B262" s="64">
        <f>VLOOKUP(A262,'ACS 2017 Cook Co'!$A$1:$F$388,2,FALSE) - VLOOKUP(A262,'ACS 2017 Chicago'!$A$1:$F$388,2,FALSE)</f>
        <v>131316</v>
      </c>
      <c r="C262" t="s">
        <v>3985</v>
      </c>
      <c r="D262" t="s">
        <v>3983</v>
      </c>
      <c r="E262" t="s">
        <v>3580</v>
      </c>
      <c r="F262" t="s">
        <v>3984</v>
      </c>
    </row>
    <row r="263" spans="1:6" x14ac:dyDescent="0.35">
      <c r="A263" s="189" t="s">
        <v>3873</v>
      </c>
      <c r="B263" s="64">
        <f>VLOOKUP(A263,'ACS 2017 Cook Co'!$A$1:$F$388,2,FALSE) - VLOOKUP(A263,'ACS 2017 Chicago'!$A$1:$F$388,2,FALSE)</f>
        <v>87249</v>
      </c>
      <c r="C263" t="s">
        <v>3986</v>
      </c>
      <c r="D263" t="s">
        <v>3983</v>
      </c>
      <c r="E263" t="s">
        <v>3580</v>
      </c>
      <c r="F263" t="s">
        <v>3984</v>
      </c>
    </row>
    <row r="264" spans="1:6" x14ac:dyDescent="0.35">
      <c r="A264" s="189" t="s">
        <v>3874</v>
      </c>
      <c r="B264" s="64">
        <f>VLOOKUP(A264,'ACS 2017 Cook Co'!$A$1:$F$388,2,FALSE) - VLOOKUP(A264,'ACS 2017 Chicago'!$A$1:$F$388,2,FALSE)</f>
        <v>26</v>
      </c>
      <c r="C264" t="s">
        <v>3987</v>
      </c>
      <c r="D264" t="s">
        <v>3983</v>
      </c>
      <c r="E264" t="s">
        <v>3580</v>
      </c>
      <c r="F264" t="s">
        <v>3984</v>
      </c>
    </row>
    <row r="265" spans="1:6" x14ac:dyDescent="0.35">
      <c r="A265" s="189" t="s">
        <v>3875</v>
      </c>
      <c r="B265" s="64">
        <f>VLOOKUP(A265,'ACS 2017 Cook Co'!$A$1:$F$388,2,FALSE) - VLOOKUP(A265,'ACS 2017 Chicago'!$A$1:$F$388,2,FALSE)</f>
        <v>87223</v>
      </c>
      <c r="C265" t="s">
        <v>3988</v>
      </c>
      <c r="D265" t="s">
        <v>3983</v>
      </c>
      <c r="E265" t="s">
        <v>3580</v>
      </c>
      <c r="F265" t="s">
        <v>3984</v>
      </c>
    </row>
    <row r="266" spans="1:6" x14ac:dyDescent="0.35">
      <c r="A266" s="189" t="s">
        <v>3876</v>
      </c>
      <c r="B266" s="64">
        <f>VLOOKUP(A266,'ACS 2017 Cook Co'!$A$1:$F$388,2,FALSE) - VLOOKUP(A266,'ACS 2017 Chicago'!$A$1:$F$388,2,FALSE)</f>
        <v>79589</v>
      </c>
      <c r="C266" t="s">
        <v>3989</v>
      </c>
      <c r="D266" t="s">
        <v>3983</v>
      </c>
      <c r="E266" t="s">
        <v>3580</v>
      </c>
      <c r="F266" t="s">
        <v>3984</v>
      </c>
    </row>
    <row r="267" spans="1:6" x14ac:dyDescent="0.35">
      <c r="A267" s="189" t="s">
        <v>3877</v>
      </c>
      <c r="B267" s="64">
        <f>VLOOKUP(A267,'ACS 2017 Cook Co'!$A$1:$F$388,2,FALSE) - VLOOKUP(A267,'ACS 2017 Chicago'!$A$1:$F$388,2,FALSE)</f>
        <v>7634</v>
      </c>
      <c r="C267" t="s">
        <v>3990</v>
      </c>
      <c r="D267" t="s">
        <v>3983</v>
      </c>
      <c r="E267" t="s">
        <v>3580</v>
      </c>
      <c r="F267" t="s">
        <v>3984</v>
      </c>
    </row>
    <row r="268" spans="1:6" x14ac:dyDescent="0.35">
      <c r="A268" s="189" t="s">
        <v>3878</v>
      </c>
      <c r="B268" s="64">
        <f>VLOOKUP(A268,'ACS 2017 Cook Co'!$A$1:$F$388,2,FALSE) - VLOOKUP(A268,'ACS 2017 Chicago'!$A$1:$F$388,2,FALSE)</f>
        <v>44067</v>
      </c>
      <c r="C268" t="s">
        <v>3991</v>
      </c>
      <c r="D268" t="s">
        <v>3983</v>
      </c>
      <c r="E268" t="s">
        <v>3580</v>
      </c>
      <c r="F268" t="s">
        <v>3984</v>
      </c>
    </row>
    <row r="269" spans="1:6" x14ac:dyDescent="0.35">
      <c r="A269" s="189" t="s">
        <v>3879</v>
      </c>
      <c r="B269" s="64">
        <f>VLOOKUP(A269,'ACS 2017 Cook Co'!$A$1:$F$388,2,FALSE) - VLOOKUP(A269,'ACS 2017 Chicago'!$A$1:$F$388,2,FALSE)</f>
        <v>301145</v>
      </c>
      <c r="C269" t="s">
        <v>3992</v>
      </c>
      <c r="D269" t="s">
        <v>3983</v>
      </c>
      <c r="E269" t="s">
        <v>3580</v>
      </c>
      <c r="F269" t="s">
        <v>3984</v>
      </c>
    </row>
    <row r="270" spans="1:6" x14ac:dyDescent="0.35">
      <c r="A270" s="189" t="s">
        <v>3880</v>
      </c>
      <c r="B270" s="64">
        <f>VLOOKUP(A270,'ACS 2017 Cook Co'!$A$1:$F$388,2,FALSE) - VLOOKUP(A270,'ACS 2017 Chicago'!$A$1:$F$388,2,FALSE)</f>
        <v>225209</v>
      </c>
      <c r="C270" t="s">
        <v>3993</v>
      </c>
      <c r="D270" t="s">
        <v>3983</v>
      </c>
      <c r="E270" t="s">
        <v>3580</v>
      </c>
      <c r="F270" t="s">
        <v>3984</v>
      </c>
    </row>
    <row r="271" spans="1:6" x14ac:dyDescent="0.35">
      <c r="A271" s="189" t="s">
        <v>3881</v>
      </c>
      <c r="B271" s="64">
        <f>VLOOKUP(A271,'ACS 2017 Cook Co'!$A$1:$F$388,2,FALSE) - VLOOKUP(A271,'ACS 2017 Chicago'!$A$1:$F$388,2,FALSE)</f>
        <v>128</v>
      </c>
      <c r="C271" t="s">
        <v>3994</v>
      </c>
      <c r="D271" t="s">
        <v>3983</v>
      </c>
      <c r="E271" t="s">
        <v>3580</v>
      </c>
      <c r="F271" t="s">
        <v>3984</v>
      </c>
    </row>
    <row r="272" spans="1:6" x14ac:dyDescent="0.35">
      <c r="A272" s="189" t="s">
        <v>3882</v>
      </c>
      <c r="B272" s="64">
        <f>VLOOKUP(A272,'ACS 2017 Cook Co'!$A$1:$F$388,2,FALSE) - VLOOKUP(A272,'ACS 2017 Chicago'!$A$1:$F$388,2,FALSE)</f>
        <v>225081</v>
      </c>
      <c r="C272" t="s">
        <v>3995</v>
      </c>
      <c r="D272" t="s">
        <v>3983</v>
      </c>
      <c r="E272" t="s">
        <v>3580</v>
      </c>
      <c r="F272" t="s">
        <v>3984</v>
      </c>
    </row>
    <row r="273" spans="1:6" x14ac:dyDescent="0.35">
      <c r="A273" s="189" t="s">
        <v>3883</v>
      </c>
      <c r="B273" s="64">
        <f>VLOOKUP(A273,'ACS 2017 Cook Co'!$A$1:$F$388,2,FALSE) - VLOOKUP(A273,'ACS 2017 Chicago'!$A$1:$F$388,2,FALSE)</f>
        <v>205962</v>
      </c>
      <c r="C273" t="s">
        <v>3996</v>
      </c>
      <c r="D273" t="s">
        <v>3983</v>
      </c>
      <c r="E273" t="s">
        <v>3580</v>
      </c>
      <c r="F273" t="s">
        <v>3984</v>
      </c>
    </row>
    <row r="274" spans="1:6" x14ac:dyDescent="0.35">
      <c r="A274" s="189" t="s">
        <v>3884</v>
      </c>
      <c r="B274" s="64">
        <f>VLOOKUP(A274,'ACS 2017 Cook Co'!$A$1:$F$388,2,FALSE) - VLOOKUP(A274,'ACS 2017 Chicago'!$A$1:$F$388,2,FALSE)</f>
        <v>19119</v>
      </c>
      <c r="C274" t="s">
        <v>3997</v>
      </c>
      <c r="D274" t="s">
        <v>3983</v>
      </c>
      <c r="E274" t="s">
        <v>3580</v>
      </c>
      <c r="F274" t="s">
        <v>3984</v>
      </c>
    </row>
    <row r="275" spans="1:6" x14ac:dyDescent="0.35">
      <c r="A275" s="189" t="s">
        <v>3885</v>
      </c>
      <c r="B275" s="64">
        <f>VLOOKUP(A275,'ACS 2017 Cook Co'!$A$1:$F$388,2,FALSE) - VLOOKUP(A275,'ACS 2017 Chicago'!$A$1:$F$388,2,FALSE)</f>
        <v>75936</v>
      </c>
      <c r="C275" t="s">
        <v>3998</v>
      </c>
      <c r="D275" t="s">
        <v>3983</v>
      </c>
      <c r="E275" t="s">
        <v>3580</v>
      </c>
      <c r="F275" t="s">
        <v>3984</v>
      </c>
    </row>
    <row r="276" spans="1:6" x14ac:dyDescent="0.35">
      <c r="A276" s="189" t="s">
        <v>3886</v>
      </c>
      <c r="B276" s="64">
        <f>VLOOKUP(A276,'ACS 2017 Cook Co'!$A$1:$F$388,2,FALSE) - VLOOKUP(A276,'ACS 2017 Chicago'!$A$1:$F$388,2,FALSE)</f>
        <v>382004</v>
      </c>
      <c r="C276" t="s">
        <v>3999</v>
      </c>
      <c r="D276" t="s">
        <v>3983</v>
      </c>
      <c r="E276" t="s">
        <v>3580</v>
      </c>
      <c r="F276" t="s">
        <v>3984</v>
      </c>
    </row>
    <row r="277" spans="1:6" x14ac:dyDescent="0.35">
      <c r="A277" s="189" t="s">
        <v>3887</v>
      </c>
      <c r="B277" s="64">
        <f>VLOOKUP(A277,'ACS 2017 Cook Co'!$A$1:$F$388,2,FALSE) - VLOOKUP(A277,'ACS 2017 Chicago'!$A$1:$F$388,2,FALSE)</f>
        <v>313799</v>
      </c>
      <c r="C277" t="s">
        <v>4000</v>
      </c>
      <c r="D277" t="s">
        <v>3983</v>
      </c>
      <c r="E277" t="s">
        <v>3580</v>
      </c>
      <c r="F277" t="s">
        <v>3984</v>
      </c>
    </row>
    <row r="278" spans="1:6" x14ac:dyDescent="0.35">
      <c r="A278" s="189" t="s">
        <v>3888</v>
      </c>
      <c r="B278" s="64">
        <f>VLOOKUP(A278,'ACS 2017 Cook Co'!$A$1:$F$388,2,FALSE) - VLOOKUP(A278,'ACS 2017 Chicago'!$A$1:$F$388,2,FALSE)</f>
        <v>343</v>
      </c>
      <c r="C278" t="s">
        <v>4001</v>
      </c>
      <c r="D278" t="s">
        <v>3983</v>
      </c>
      <c r="E278" t="s">
        <v>3580</v>
      </c>
      <c r="F278" t="s">
        <v>3984</v>
      </c>
    </row>
    <row r="279" spans="1:6" x14ac:dyDescent="0.35">
      <c r="A279" s="189" t="s">
        <v>3889</v>
      </c>
      <c r="B279" s="64">
        <f>VLOOKUP(A279,'ACS 2017 Cook Co'!$A$1:$F$388,2,FALSE) - VLOOKUP(A279,'ACS 2017 Chicago'!$A$1:$F$388,2,FALSE)</f>
        <v>313456</v>
      </c>
      <c r="C279" t="s">
        <v>4002</v>
      </c>
      <c r="D279" t="s">
        <v>3983</v>
      </c>
      <c r="E279" t="s">
        <v>3580</v>
      </c>
      <c r="F279" t="s">
        <v>3984</v>
      </c>
    </row>
    <row r="280" spans="1:6" x14ac:dyDescent="0.35">
      <c r="A280" s="189" t="s">
        <v>3890</v>
      </c>
      <c r="B280" s="64">
        <f>VLOOKUP(A280,'ACS 2017 Cook Co'!$A$1:$F$388,2,FALSE) - VLOOKUP(A280,'ACS 2017 Chicago'!$A$1:$F$388,2,FALSE)</f>
        <v>290516</v>
      </c>
      <c r="C280" t="s">
        <v>4003</v>
      </c>
      <c r="D280" t="s">
        <v>3983</v>
      </c>
      <c r="E280" t="s">
        <v>3580</v>
      </c>
      <c r="F280" t="s">
        <v>3984</v>
      </c>
    </row>
    <row r="281" spans="1:6" x14ac:dyDescent="0.35">
      <c r="A281" s="189" t="s">
        <v>3891</v>
      </c>
      <c r="B281" s="64">
        <f>VLOOKUP(A281,'ACS 2017 Cook Co'!$A$1:$F$388,2,FALSE) - VLOOKUP(A281,'ACS 2017 Chicago'!$A$1:$F$388,2,FALSE)</f>
        <v>22940</v>
      </c>
      <c r="C281" t="s">
        <v>4004</v>
      </c>
      <c r="D281" t="s">
        <v>3983</v>
      </c>
      <c r="E281" t="s">
        <v>3580</v>
      </c>
      <c r="F281" t="s">
        <v>3984</v>
      </c>
    </row>
    <row r="282" spans="1:6" x14ac:dyDescent="0.35">
      <c r="A282" s="189" t="s">
        <v>3892</v>
      </c>
      <c r="B282" s="64">
        <f>VLOOKUP(A282,'ACS 2017 Cook Co'!$A$1:$F$388,2,FALSE) - VLOOKUP(A282,'ACS 2017 Chicago'!$A$1:$F$388,2,FALSE)</f>
        <v>68205</v>
      </c>
      <c r="C282" t="s">
        <v>4005</v>
      </c>
      <c r="D282" t="s">
        <v>3983</v>
      </c>
      <c r="E282" t="s">
        <v>3580</v>
      </c>
      <c r="F282" t="s">
        <v>3984</v>
      </c>
    </row>
    <row r="283" spans="1:6" x14ac:dyDescent="0.35">
      <c r="A283" s="189" t="s">
        <v>3893</v>
      </c>
      <c r="B283" s="64">
        <f>VLOOKUP(A283,'ACS 2017 Cook Co'!$A$1:$F$388,2,FALSE) - VLOOKUP(A283,'ACS 2017 Chicago'!$A$1:$F$388,2,FALSE)</f>
        <v>519352</v>
      </c>
      <c r="C283" t="s">
        <v>4006</v>
      </c>
      <c r="D283" t="s">
        <v>3983</v>
      </c>
      <c r="E283" t="s">
        <v>3580</v>
      </c>
      <c r="F283" t="s">
        <v>3984</v>
      </c>
    </row>
    <row r="284" spans="1:6" x14ac:dyDescent="0.35">
      <c r="A284" s="189" t="s">
        <v>3894</v>
      </c>
      <c r="B284" s="64">
        <f>VLOOKUP(A284,'ACS 2017 Cook Co'!$A$1:$F$388,2,FALSE) - VLOOKUP(A284,'ACS 2017 Chicago'!$A$1:$F$388,2,FALSE)</f>
        <v>447868</v>
      </c>
      <c r="C284" t="s">
        <v>4007</v>
      </c>
      <c r="D284" t="s">
        <v>3983</v>
      </c>
      <c r="E284" t="s">
        <v>3580</v>
      </c>
      <c r="F284" t="s">
        <v>3984</v>
      </c>
    </row>
    <row r="285" spans="1:6" x14ac:dyDescent="0.35">
      <c r="A285" s="189" t="s">
        <v>3895</v>
      </c>
      <c r="B285" s="64">
        <f>VLOOKUP(A285,'ACS 2017 Cook Co'!$A$1:$F$388,2,FALSE) - VLOOKUP(A285,'ACS 2017 Chicago'!$A$1:$F$388,2,FALSE)</f>
        <v>76</v>
      </c>
      <c r="C285" t="s">
        <v>4008</v>
      </c>
      <c r="D285" t="s">
        <v>3983</v>
      </c>
      <c r="E285" t="s">
        <v>3580</v>
      </c>
      <c r="F285" t="s">
        <v>3984</v>
      </c>
    </row>
    <row r="286" spans="1:6" x14ac:dyDescent="0.35">
      <c r="A286" s="189" t="s">
        <v>3896</v>
      </c>
      <c r="B286" s="64">
        <f>VLOOKUP(A286,'ACS 2017 Cook Co'!$A$1:$F$388,2,FALSE) - VLOOKUP(A286,'ACS 2017 Chicago'!$A$1:$F$388,2,FALSE)</f>
        <v>447792</v>
      </c>
      <c r="C286" t="s">
        <v>4009</v>
      </c>
      <c r="D286" t="s">
        <v>3983</v>
      </c>
      <c r="E286" t="s">
        <v>3580</v>
      </c>
      <c r="F286" t="s">
        <v>3984</v>
      </c>
    </row>
    <row r="287" spans="1:6" x14ac:dyDescent="0.35">
      <c r="A287" s="189" t="s">
        <v>3897</v>
      </c>
      <c r="B287" s="64">
        <f>VLOOKUP(A287,'ACS 2017 Cook Co'!$A$1:$F$388,2,FALSE) - VLOOKUP(A287,'ACS 2017 Chicago'!$A$1:$F$388,2,FALSE)</f>
        <v>431097</v>
      </c>
      <c r="C287" t="s">
        <v>4010</v>
      </c>
      <c r="D287" t="s">
        <v>3983</v>
      </c>
      <c r="E287" t="s">
        <v>3580</v>
      </c>
      <c r="F287" t="s">
        <v>3984</v>
      </c>
    </row>
    <row r="288" spans="1:6" x14ac:dyDescent="0.35">
      <c r="A288" s="189" t="s">
        <v>3898</v>
      </c>
      <c r="B288" s="64">
        <f>VLOOKUP(A288,'ACS 2017 Cook Co'!$A$1:$F$388,2,FALSE) - VLOOKUP(A288,'ACS 2017 Chicago'!$A$1:$F$388,2,FALSE)</f>
        <v>16695</v>
      </c>
      <c r="C288" t="s">
        <v>4011</v>
      </c>
      <c r="D288" t="s">
        <v>3983</v>
      </c>
      <c r="E288" t="s">
        <v>3580</v>
      </c>
      <c r="F288" t="s">
        <v>3984</v>
      </c>
    </row>
    <row r="289" spans="1:6" x14ac:dyDescent="0.35">
      <c r="A289" s="189" t="s">
        <v>3899</v>
      </c>
      <c r="B289" s="64">
        <f>VLOOKUP(A289,'ACS 2017 Cook Co'!$A$1:$F$388,2,FALSE) - VLOOKUP(A289,'ACS 2017 Chicago'!$A$1:$F$388,2,FALSE)</f>
        <v>71484</v>
      </c>
      <c r="C289" t="s">
        <v>4012</v>
      </c>
      <c r="D289" t="s">
        <v>3983</v>
      </c>
      <c r="E289" t="s">
        <v>3580</v>
      </c>
      <c r="F289" t="s">
        <v>3984</v>
      </c>
    </row>
    <row r="290" spans="1:6" x14ac:dyDescent="0.35">
      <c r="A290" s="189" t="s">
        <v>3430</v>
      </c>
      <c r="B290" s="64">
        <f>VLOOKUP(A290,'ACS 2017 Cook Co'!$A$1:$F$388,2,FALSE) - VLOOKUP(A290,'ACS 2017 Chicago'!$A$1:$F$388,2,FALSE)</f>
        <v>1304265</v>
      </c>
      <c r="C290" t="s">
        <v>3729</v>
      </c>
      <c r="D290" t="s">
        <v>3730</v>
      </c>
      <c r="E290" t="s">
        <v>3580</v>
      </c>
      <c r="F290" t="s">
        <v>3731</v>
      </c>
    </row>
    <row r="291" spans="1:6" x14ac:dyDescent="0.35">
      <c r="A291" s="189" t="s">
        <v>3431</v>
      </c>
      <c r="B291" s="64">
        <f>VLOOKUP(A291,'ACS 2017 Cook Co'!$A$1:$F$388,2,FALSE) - VLOOKUP(A291,'ACS 2017 Chicago'!$A$1:$F$388,2,FALSE)</f>
        <v>1207992</v>
      </c>
      <c r="C291" t="s">
        <v>3732</v>
      </c>
      <c r="D291" t="s">
        <v>3730</v>
      </c>
      <c r="E291" t="s">
        <v>3580</v>
      </c>
      <c r="F291" t="s">
        <v>3731</v>
      </c>
    </row>
    <row r="292" spans="1:6" x14ac:dyDescent="0.35">
      <c r="A292" s="189" t="s">
        <v>3337</v>
      </c>
      <c r="B292" s="64">
        <f>VLOOKUP(A292,'ACS 2017 Cook Co'!$A$1:$F$388,2,FALSE) - VLOOKUP(A292,'ACS 2017 Chicago'!$A$1:$F$388,2,FALSE)</f>
        <v>909772</v>
      </c>
      <c r="C292" t="s">
        <v>26</v>
      </c>
      <c r="D292" t="s">
        <v>3733</v>
      </c>
      <c r="E292" t="s">
        <v>3580</v>
      </c>
      <c r="F292" t="s">
        <v>3734</v>
      </c>
    </row>
    <row r="293" spans="1:6" x14ac:dyDescent="0.35">
      <c r="A293" s="189" t="s">
        <v>3339</v>
      </c>
      <c r="B293" s="64">
        <f>VLOOKUP(A293,'ACS 2017 Cook Co'!$A$1:$F$388,2,FALSE) - VLOOKUP(A293,'ACS 2017 Chicago'!$A$1:$F$388,2,FALSE)</f>
        <v>983682</v>
      </c>
      <c r="C293" t="s">
        <v>26</v>
      </c>
      <c r="D293" t="s">
        <v>3735</v>
      </c>
      <c r="E293" t="s">
        <v>3580</v>
      </c>
      <c r="F293" t="s">
        <v>3736</v>
      </c>
    </row>
    <row r="294" spans="1:6" x14ac:dyDescent="0.35">
      <c r="A294" s="189" t="s">
        <v>3340</v>
      </c>
      <c r="B294" s="64">
        <f>VLOOKUP(A294,'ACS 2017 Cook Co'!$A$1:$F$388,2,FALSE) - VLOOKUP(A294,'ACS 2017 Chicago'!$A$1:$F$388,2,FALSE)</f>
        <v>570066</v>
      </c>
      <c r="C294" t="s">
        <v>3737</v>
      </c>
      <c r="D294" t="s">
        <v>3735</v>
      </c>
      <c r="E294" t="s">
        <v>3580</v>
      </c>
      <c r="F294" t="s">
        <v>3736</v>
      </c>
    </row>
    <row r="295" spans="1:6" x14ac:dyDescent="0.35">
      <c r="A295" s="189" t="s">
        <v>3341</v>
      </c>
      <c r="B295" s="64">
        <f>VLOOKUP(A295,'ACS 2017 Cook Co'!$A$1:$F$388,2,FALSE) - VLOOKUP(A295,'ACS 2017 Chicago'!$A$1:$F$388,2,FALSE)</f>
        <v>73372</v>
      </c>
      <c r="C295" t="s">
        <v>3738</v>
      </c>
      <c r="D295" t="s">
        <v>3735</v>
      </c>
      <c r="E295" t="s">
        <v>3580</v>
      </c>
      <c r="F295" t="s">
        <v>3736</v>
      </c>
    </row>
    <row r="296" spans="1:6" x14ac:dyDescent="0.35">
      <c r="A296" s="189" t="s">
        <v>3342</v>
      </c>
      <c r="B296" s="64">
        <f>VLOOKUP(A296,'ACS 2017 Cook Co'!$A$1:$F$388,2,FALSE) - VLOOKUP(A296,'ACS 2017 Chicago'!$A$1:$F$388,2,FALSE)</f>
        <v>37521</v>
      </c>
      <c r="C296" t="s">
        <v>3739</v>
      </c>
      <c r="D296" t="s">
        <v>3735</v>
      </c>
      <c r="E296" t="s">
        <v>3580</v>
      </c>
      <c r="F296" t="s">
        <v>3736</v>
      </c>
    </row>
    <row r="297" spans="1:6" x14ac:dyDescent="0.35">
      <c r="A297" s="189" t="s">
        <v>3343</v>
      </c>
      <c r="B297" s="64">
        <f>VLOOKUP(A297,'ACS 2017 Cook Co'!$A$1:$F$388,2,FALSE) - VLOOKUP(A297,'ACS 2017 Chicago'!$A$1:$F$388,2,FALSE)</f>
        <v>55804</v>
      </c>
      <c r="C297" t="s">
        <v>3740</v>
      </c>
      <c r="D297" t="s">
        <v>3735</v>
      </c>
      <c r="E297" t="s">
        <v>3580</v>
      </c>
      <c r="F297" t="s">
        <v>3736</v>
      </c>
    </row>
    <row r="298" spans="1:6" x14ac:dyDescent="0.35">
      <c r="A298" s="189" t="s">
        <v>3344</v>
      </c>
      <c r="B298" s="64">
        <f>VLOOKUP(A298,'ACS 2017 Cook Co'!$A$1:$F$388,2,FALSE) - VLOOKUP(A298,'ACS 2017 Chicago'!$A$1:$F$388,2,FALSE)</f>
        <v>79446</v>
      </c>
      <c r="C298" t="s">
        <v>3741</v>
      </c>
      <c r="D298" t="s">
        <v>3735</v>
      </c>
      <c r="E298" t="s">
        <v>3580</v>
      </c>
      <c r="F298" t="s">
        <v>3736</v>
      </c>
    </row>
    <row r="299" spans="1:6" x14ac:dyDescent="0.35">
      <c r="A299" s="189" t="s">
        <v>3345</v>
      </c>
      <c r="B299" s="64">
        <f>VLOOKUP(A299,'ACS 2017 Cook Co'!$A$1:$F$388,2,FALSE) - VLOOKUP(A299,'ACS 2017 Chicago'!$A$1:$F$388,2,FALSE)</f>
        <v>52033</v>
      </c>
      <c r="C299" t="s">
        <v>3742</v>
      </c>
      <c r="D299" t="s">
        <v>3735</v>
      </c>
      <c r="E299" t="s">
        <v>3580</v>
      </c>
      <c r="F299" t="s">
        <v>3736</v>
      </c>
    </row>
    <row r="300" spans="1:6" x14ac:dyDescent="0.35">
      <c r="A300" s="189" t="s">
        <v>3346</v>
      </c>
      <c r="B300" s="64">
        <f>VLOOKUP(A300,'ACS 2017 Cook Co'!$A$1:$F$388,2,FALSE) - VLOOKUP(A300,'ACS 2017 Chicago'!$A$1:$F$388,2,FALSE)</f>
        <v>48437</v>
      </c>
      <c r="C300" t="s">
        <v>3743</v>
      </c>
      <c r="D300" t="s">
        <v>3735</v>
      </c>
      <c r="E300" t="s">
        <v>3580</v>
      </c>
      <c r="F300" t="s">
        <v>3736</v>
      </c>
    </row>
    <row r="301" spans="1:6" x14ac:dyDescent="0.35">
      <c r="A301" s="189" t="s">
        <v>3347</v>
      </c>
      <c r="B301" s="64">
        <f>VLOOKUP(A301,'ACS 2017 Cook Co'!$A$1:$F$388,2,FALSE) - VLOOKUP(A301,'ACS 2017 Chicago'!$A$1:$F$388,2,FALSE)</f>
        <v>53737</v>
      </c>
      <c r="C301" t="s">
        <v>3744</v>
      </c>
      <c r="D301" t="s">
        <v>3735</v>
      </c>
      <c r="E301" t="s">
        <v>3580</v>
      </c>
      <c r="F301" t="s">
        <v>3736</v>
      </c>
    </row>
    <row r="302" spans="1:6" x14ac:dyDescent="0.35">
      <c r="A302" s="189" t="s">
        <v>3348</v>
      </c>
      <c r="B302" s="64">
        <f>VLOOKUP(A302,'ACS 2017 Cook Co'!$A$1:$F$388,2,FALSE) - VLOOKUP(A302,'ACS 2017 Chicago'!$A$1:$F$388,2,FALSE)</f>
        <v>13079</v>
      </c>
      <c r="C302" t="s">
        <v>3745</v>
      </c>
      <c r="D302" t="s">
        <v>3735</v>
      </c>
      <c r="E302" t="s">
        <v>3580</v>
      </c>
      <c r="F302" t="s">
        <v>3736</v>
      </c>
    </row>
    <row r="303" spans="1:6" x14ac:dyDescent="0.35">
      <c r="A303" s="189" t="s">
        <v>3349</v>
      </c>
      <c r="B303" s="64">
        <f>VLOOKUP(A303,'ACS 2017 Cook Co'!$A$1:$F$388,2,FALSE) - VLOOKUP(A303,'ACS 2017 Chicago'!$A$1:$F$388,2,FALSE)</f>
        <v>187</v>
      </c>
      <c r="C303" t="s">
        <v>3746</v>
      </c>
      <c r="D303" t="s">
        <v>3735</v>
      </c>
      <c r="E303" t="s">
        <v>3580</v>
      </c>
      <c r="F303" t="s">
        <v>3736</v>
      </c>
    </row>
    <row r="304" spans="1:6" x14ac:dyDescent="0.35">
      <c r="A304" s="189" t="s">
        <v>3407</v>
      </c>
      <c r="B304" s="64">
        <f>VLOOKUP(A304,'ACS 2017 Cook Co'!$A$1:$F$388,2,FALSE) - VLOOKUP(A304,'ACS 2017 Chicago'!$A$1:$F$388,2,FALSE)</f>
        <v>909772</v>
      </c>
      <c r="C304" t="s">
        <v>26</v>
      </c>
      <c r="D304" t="s">
        <v>3747</v>
      </c>
      <c r="E304" t="s">
        <v>3580</v>
      </c>
      <c r="F304" t="s">
        <v>3748</v>
      </c>
    </row>
    <row r="305" spans="1:6" x14ac:dyDescent="0.35">
      <c r="A305" s="189" t="s">
        <v>3408</v>
      </c>
      <c r="B305" s="64">
        <f>VLOOKUP(A305,'ACS 2017 Cook Co'!$A$1:$F$388,2,FALSE) - VLOOKUP(A305,'ACS 2017 Chicago'!$A$1:$F$388,2,FALSE)</f>
        <v>645796</v>
      </c>
      <c r="C305" t="s">
        <v>3749</v>
      </c>
      <c r="D305" t="s">
        <v>3747</v>
      </c>
      <c r="E305" t="s">
        <v>3580</v>
      </c>
      <c r="F305" t="s">
        <v>3748</v>
      </c>
    </row>
    <row r="306" spans="1:6" x14ac:dyDescent="0.35">
      <c r="A306" s="189" t="s">
        <v>3409</v>
      </c>
      <c r="B306" s="64">
        <f>VLOOKUP(A306,'ACS 2017 Cook Co'!$A$1:$F$388,2,FALSE) - VLOOKUP(A306,'ACS 2017 Chicago'!$A$1:$F$388,2,FALSE)</f>
        <v>1135</v>
      </c>
      <c r="C306" t="s">
        <v>3750</v>
      </c>
      <c r="D306" t="s">
        <v>3747</v>
      </c>
      <c r="E306" t="s">
        <v>3580</v>
      </c>
      <c r="F306" t="s">
        <v>3748</v>
      </c>
    </row>
    <row r="307" spans="1:6" x14ac:dyDescent="0.35">
      <c r="A307" s="189" t="s">
        <v>3410</v>
      </c>
      <c r="B307" s="64">
        <f>VLOOKUP(A307,'ACS 2017 Cook Co'!$A$1:$F$388,2,FALSE) - VLOOKUP(A307,'ACS 2017 Chicago'!$A$1:$F$388,2,FALSE)</f>
        <v>2558</v>
      </c>
      <c r="C307" t="s">
        <v>3751</v>
      </c>
      <c r="D307" t="s">
        <v>3747</v>
      </c>
      <c r="E307" t="s">
        <v>3580</v>
      </c>
      <c r="F307" t="s">
        <v>3748</v>
      </c>
    </row>
    <row r="308" spans="1:6" x14ac:dyDescent="0.35">
      <c r="A308" s="189" t="s">
        <v>3411</v>
      </c>
      <c r="B308" s="64">
        <f>VLOOKUP(A308,'ACS 2017 Cook Co'!$A$1:$F$388,2,FALSE) - VLOOKUP(A308,'ACS 2017 Chicago'!$A$1:$F$388,2,FALSE)</f>
        <v>47427</v>
      </c>
      <c r="C308" t="s">
        <v>3752</v>
      </c>
      <c r="D308" t="s">
        <v>3747</v>
      </c>
      <c r="E308" t="s">
        <v>3580</v>
      </c>
      <c r="F308" t="s">
        <v>3748</v>
      </c>
    </row>
    <row r="309" spans="1:6" x14ac:dyDescent="0.35">
      <c r="A309" s="189" t="s">
        <v>3412</v>
      </c>
      <c r="B309" s="64">
        <f>VLOOKUP(A309,'ACS 2017 Cook Co'!$A$1:$F$388,2,FALSE) - VLOOKUP(A309,'ACS 2017 Chicago'!$A$1:$F$388,2,FALSE)</f>
        <v>56923</v>
      </c>
      <c r="C309" t="s">
        <v>3753</v>
      </c>
      <c r="D309" t="s">
        <v>3747</v>
      </c>
      <c r="E309" t="s">
        <v>3580</v>
      </c>
      <c r="F309" t="s">
        <v>3748</v>
      </c>
    </row>
    <row r="310" spans="1:6" x14ac:dyDescent="0.35">
      <c r="A310" s="189" t="s">
        <v>3413</v>
      </c>
      <c r="B310" s="64">
        <f>VLOOKUP(A310,'ACS 2017 Cook Co'!$A$1:$F$388,2,FALSE) - VLOOKUP(A310,'ACS 2017 Chicago'!$A$1:$F$388,2,FALSE)</f>
        <v>64229</v>
      </c>
      <c r="C310" t="s">
        <v>3754</v>
      </c>
      <c r="D310" t="s">
        <v>3747</v>
      </c>
      <c r="E310" t="s">
        <v>3580</v>
      </c>
      <c r="F310" t="s">
        <v>3748</v>
      </c>
    </row>
    <row r="311" spans="1:6" x14ac:dyDescent="0.35">
      <c r="A311" s="189" t="s">
        <v>3414</v>
      </c>
      <c r="B311" s="64">
        <f>VLOOKUP(A311,'ACS 2017 Cook Co'!$A$1:$F$388,2,FALSE) - VLOOKUP(A311,'ACS 2017 Chicago'!$A$1:$F$388,2,FALSE)</f>
        <v>103956</v>
      </c>
      <c r="C311" t="s">
        <v>3755</v>
      </c>
      <c r="D311" t="s">
        <v>3747</v>
      </c>
      <c r="E311" t="s">
        <v>3580</v>
      </c>
      <c r="F311" t="s">
        <v>3748</v>
      </c>
    </row>
    <row r="312" spans="1:6" x14ac:dyDescent="0.35">
      <c r="A312" s="189" t="s">
        <v>3415</v>
      </c>
      <c r="B312" s="64">
        <f>VLOOKUP(A312,'ACS 2017 Cook Co'!$A$1:$F$388,2,FALSE) - VLOOKUP(A312,'ACS 2017 Chicago'!$A$1:$F$388,2,FALSE)</f>
        <v>109139</v>
      </c>
      <c r="C312" t="s">
        <v>3756</v>
      </c>
      <c r="D312" t="s">
        <v>3747</v>
      </c>
      <c r="E312" t="s">
        <v>3580</v>
      </c>
      <c r="F312" t="s">
        <v>3748</v>
      </c>
    </row>
    <row r="313" spans="1:6" x14ac:dyDescent="0.35">
      <c r="A313" s="189" t="s">
        <v>3416</v>
      </c>
      <c r="B313" s="64">
        <f>VLOOKUP(A313,'ACS 2017 Cook Co'!$A$1:$F$388,2,FALSE) - VLOOKUP(A313,'ACS 2017 Chicago'!$A$1:$F$388,2,FALSE)</f>
        <v>140569</v>
      </c>
      <c r="C313" t="s">
        <v>3757</v>
      </c>
      <c r="D313" t="s">
        <v>3747</v>
      </c>
      <c r="E313" t="s">
        <v>3580</v>
      </c>
      <c r="F313" t="s">
        <v>3748</v>
      </c>
    </row>
    <row r="314" spans="1:6" x14ac:dyDescent="0.35">
      <c r="A314" s="189" t="s">
        <v>3417</v>
      </c>
      <c r="B314" s="64">
        <f>VLOOKUP(A314,'ACS 2017 Cook Co'!$A$1:$F$388,2,FALSE) - VLOOKUP(A314,'ACS 2017 Chicago'!$A$1:$F$388,2,FALSE)</f>
        <v>39212</v>
      </c>
      <c r="C314" t="s">
        <v>3758</v>
      </c>
      <c r="D314" t="s">
        <v>3747</v>
      </c>
      <c r="E314" t="s">
        <v>3580</v>
      </c>
      <c r="F314" t="s">
        <v>3748</v>
      </c>
    </row>
    <row r="315" spans="1:6" x14ac:dyDescent="0.35">
      <c r="A315" s="189" t="s">
        <v>3418</v>
      </c>
      <c r="B315" s="64">
        <f>VLOOKUP(A315,'ACS 2017 Cook Co'!$A$1:$F$388,2,FALSE) - VLOOKUP(A315,'ACS 2017 Chicago'!$A$1:$F$388,2,FALSE)</f>
        <v>80648</v>
      </c>
      <c r="C315" t="s">
        <v>3759</v>
      </c>
      <c r="D315" t="s">
        <v>3747</v>
      </c>
      <c r="E315" t="s">
        <v>3580</v>
      </c>
      <c r="F315" t="s">
        <v>3748</v>
      </c>
    </row>
    <row r="316" spans="1:6" x14ac:dyDescent="0.35">
      <c r="A316" s="189" t="s">
        <v>3419</v>
      </c>
      <c r="B316" s="64">
        <f>VLOOKUP(A316,'ACS 2017 Cook Co'!$A$1:$F$388,2,FALSE) - VLOOKUP(A316,'ACS 2017 Chicago'!$A$1:$F$388,2,FALSE)</f>
        <v>263976</v>
      </c>
      <c r="C316" t="s">
        <v>3760</v>
      </c>
      <c r="D316" t="s">
        <v>3747</v>
      </c>
      <c r="E316" t="s">
        <v>3580</v>
      </c>
      <c r="F316" t="s">
        <v>3748</v>
      </c>
    </row>
    <row r="317" spans="1:6" x14ac:dyDescent="0.35">
      <c r="A317" s="189" t="s">
        <v>3420</v>
      </c>
      <c r="B317" s="64">
        <f>VLOOKUP(A317,'ACS 2017 Cook Co'!$A$1:$F$388,2,FALSE) - VLOOKUP(A317,'ACS 2017 Chicago'!$A$1:$F$388,2,FALSE)</f>
        <v>787</v>
      </c>
      <c r="C317" t="s">
        <v>3761</v>
      </c>
      <c r="D317" t="s">
        <v>3747</v>
      </c>
      <c r="E317" t="s">
        <v>3580</v>
      </c>
      <c r="F317" t="s">
        <v>3748</v>
      </c>
    </row>
    <row r="318" spans="1:6" x14ac:dyDescent="0.35">
      <c r="A318" s="189" t="s">
        <v>3421</v>
      </c>
      <c r="B318" s="64">
        <f>VLOOKUP(A318,'ACS 2017 Cook Co'!$A$1:$F$388,2,FALSE) - VLOOKUP(A318,'ACS 2017 Chicago'!$A$1:$F$388,2,FALSE)</f>
        <v>1997</v>
      </c>
      <c r="C318" t="s">
        <v>3762</v>
      </c>
      <c r="D318" t="s">
        <v>3747</v>
      </c>
      <c r="E318" t="s">
        <v>3580</v>
      </c>
      <c r="F318" t="s">
        <v>3748</v>
      </c>
    </row>
    <row r="319" spans="1:6" x14ac:dyDescent="0.35">
      <c r="A319" s="189" t="s">
        <v>3422</v>
      </c>
      <c r="B319" s="64">
        <f>VLOOKUP(A319,'ACS 2017 Cook Co'!$A$1:$F$388,2,FALSE) - VLOOKUP(A319,'ACS 2017 Chicago'!$A$1:$F$388,2,FALSE)</f>
        <v>17081</v>
      </c>
      <c r="C319" t="s">
        <v>3763</v>
      </c>
      <c r="D319" t="s">
        <v>3747</v>
      </c>
      <c r="E319" t="s">
        <v>3580</v>
      </c>
      <c r="F319" t="s">
        <v>3748</v>
      </c>
    </row>
    <row r="320" spans="1:6" x14ac:dyDescent="0.35">
      <c r="A320" s="189" t="s">
        <v>3423</v>
      </c>
      <c r="B320" s="64">
        <f>VLOOKUP(A320,'ACS 2017 Cook Co'!$A$1:$F$388,2,FALSE) - VLOOKUP(A320,'ACS 2017 Chicago'!$A$1:$F$388,2,FALSE)</f>
        <v>22135</v>
      </c>
      <c r="C320" t="s">
        <v>3764</v>
      </c>
      <c r="D320" t="s">
        <v>3747</v>
      </c>
      <c r="E320" t="s">
        <v>3580</v>
      </c>
      <c r="F320" t="s">
        <v>3748</v>
      </c>
    </row>
    <row r="321" spans="1:6" x14ac:dyDescent="0.35">
      <c r="A321" s="189" t="s">
        <v>3424</v>
      </c>
      <c r="B321" s="64">
        <f>VLOOKUP(A321,'ACS 2017 Cook Co'!$A$1:$F$388,2,FALSE) - VLOOKUP(A321,'ACS 2017 Chicago'!$A$1:$F$388,2,FALSE)</f>
        <v>30657</v>
      </c>
      <c r="C321" t="s">
        <v>3765</v>
      </c>
      <c r="D321" t="s">
        <v>3747</v>
      </c>
      <c r="E321" t="s">
        <v>3580</v>
      </c>
      <c r="F321" t="s">
        <v>3748</v>
      </c>
    </row>
    <row r="322" spans="1:6" x14ac:dyDescent="0.35">
      <c r="A322" s="189" t="s">
        <v>3425</v>
      </c>
      <c r="B322" s="64">
        <f>VLOOKUP(A322,'ACS 2017 Cook Co'!$A$1:$F$388,2,FALSE) - VLOOKUP(A322,'ACS 2017 Chicago'!$A$1:$F$388,2,FALSE)</f>
        <v>59537</v>
      </c>
      <c r="C322" t="s">
        <v>3766</v>
      </c>
      <c r="D322" t="s">
        <v>3747</v>
      </c>
      <c r="E322" t="s">
        <v>3580</v>
      </c>
      <c r="F322" t="s">
        <v>3748</v>
      </c>
    </row>
    <row r="323" spans="1:6" x14ac:dyDescent="0.35">
      <c r="A323" s="189" t="s">
        <v>3426</v>
      </c>
      <c r="B323" s="64">
        <f>VLOOKUP(A323,'ACS 2017 Cook Co'!$A$1:$F$388,2,FALSE) - VLOOKUP(A323,'ACS 2017 Chicago'!$A$1:$F$388,2,FALSE)</f>
        <v>42885</v>
      </c>
      <c r="C323" t="s">
        <v>3767</v>
      </c>
      <c r="D323" t="s">
        <v>3747</v>
      </c>
      <c r="E323" t="s">
        <v>3580</v>
      </c>
      <c r="F323" t="s">
        <v>3748</v>
      </c>
    </row>
    <row r="324" spans="1:6" x14ac:dyDescent="0.35">
      <c r="A324" s="189" t="s">
        <v>3427</v>
      </c>
      <c r="B324" s="64">
        <f>VLOOKUP(A324,'ACS 2017 Cook Co'!$A$1:$F$388,2,FALSE) - VLOOKUP(A324,'ACS 2017 Chicago'!$A$1:$F$388,2,FALSE)</f>
        <v>36709</v>
      </c>
      <c r="C324" t="s">
        <v>3768</v>
      </c>
      <c r="D324" t="s">
        <v>3747</v>
      </c>
      <c r="E324" t="s">
        <v>3580</v>
      </c>
      <c r="F324" t="s">
        <v>3748</v>
      </c>
    </row>
    <row r="325" spans="1:6" x14ac:dyDescent="0.35">
      <c r="A325" s="189" t="s">
        <v>3428</v>
      </c>
      <c r="B325" s="64">
        <f>VLOOKUP(A325,'ACS 2017 Cook Co'!$A$1:$F$388,2,FALSE) - VLOOKUP(A325,'ACS 2017 Chicago'!$A$1:$F$388,2,FALSE)</f>
        <v>13577</v>
      </c>
      <c r="C325" t="s">
        <v>3769</v>
      </c>
      <c r="D325" t="s">
        <v>3747</v>
      </c>
      <c r="E325" t="s">
        <v>3580</v>
      </c>
      <c r="F325" t="s">
        <v>3748</v>
      </c>
    </row>
    <row r="326" spans="1:6" x14ac:dyDescent="0.35">
      <c r="A326" s="189" t="s">
        <v>3429</v>
      </c>
      <c r="B326" s="64">
        <f>VLOOKUP(A326,'ACS 2017 Cook Co'!$A$1:$F$388,2,FALSE) - VLOOKUP(A326,'ACS 2017 Chicago'!$A$1:$F$388,2,FALSE)</f>
        <v>38611</v>
      </c>
      <c r="C326" t="s">
        <v>3770</v>
      </c>
      <c r="D326" t="s">
        <v>3747</v>
      </c>
      <c r="E326" t="s">
        <v>3580</v>
      </c>
      <c r="F326" t="s">
        <v>3748</v>
      </c>
    </row>
    <row r="327" spans="1:6" x14ac:dyDescent="0.35">
      <c r="A327" s="189" t="s">
        <v>3350</v>
      </c>
      <c r="B327" s="64">
        <f>VLOOKUP(A327,'ACS 2017 Cook Co'!$A$1:$F$388,2,FALSE) - VLOOKUP(A327,'ACS 2017 Chicago'!$A$1:$F$388,2,FALSE)</f>
        <v>909772</v>
      </c>
      <c r="C327" t="s">
        <v>26</v>
      </c>
      <c r="D327" t="s">
        <v>3771</v>
      </c>
      <c r="E327" t="s">
        <v>3580</v>
      </c>
      <c r="F327" t="s">
        <v>3772</v>
      </c>
    </row>
    <row r="328" spans="1:6" x14ac:dyDescent="0.35">
      <c r="A328" s="189" t="s">
        <v>3351</v>
      </c>
      <c r="B328" s="64">
        <f>VLOOKUP(A328,'ACS 2017 Cook Co'!$A$1:$F$388,2,FALSE) - VLOOKUP(A328,'ACS 2017 Chicago'!$A$1:$F$388,2,FALSE)</f>
        <v>645796</v>
      </c>
      <c r="C328" t="s">
        <v>3749</v>
      </c>
      <c r="D328" t="s">
        <v>3771</v>
      </c>
      <c r="E328" t="s">
        <v>3580</v>
      </c>
      <c r="F328" t="s">
        <v>3772</v>
      </c>
    </row>
    <row r="329" spans="1:6" x14ac:dyDescent="0.35">
      <c r="A329" s="189" t="s">
        <v>3352</v>
      </c>
      <c r="B329" s="64">
        <f>VLOOKUP(A329,'ACS 2017 Cook Co'!$A$1:$F$388,2,FALSE) - VLOOKUP(A329,'ACS 2017 Chicago'!$A$1:$F$388,2,FALSE)</f>
        <v>1822</v>
      </c>
      <c r="C329" t="s">
        <v>3773</v>
      </c>
      <c r="D329" t="s">
        <v>3771</v>
      </c>
      <c r="E329" t="s">
        <v>3580</v>
      </c>
      <c r="F329" t="s">
        <v>3772</v>
      </c>
    </row>
    <row r="330" spans="1:6" x14ac:dyDescent="0.35">
      <c r="A330" s="189" t="s">
        <v>3353</v>
      </c>
      <c r="B330" s="64">
        <f>VLOOKUP(A330,'ACS 2017 Cook Co'!$A$1:$F$388,2,FALSE) - VLOOKUP(A330,'ACS 2017 Chicago'!$A$1:$F$388,2,FALSE)</f>
        <v>18451</v>
      </c>
      <c r="C330" t="s">
        <v>3774</v>
      </c>
      <c r="D330" t="s">
        <v>3771</v>
      </c>
      <c r="E330" t="s">
        <v>3580</v>
      </c>
      <c r="F330" t="s">
        <v>3772</v>
      </c>
    </row>
    <row r="331" spans="1:6" x14ac:dyDescent="0.35">
      <c r="A331" s="189" t="s">
        <v>3354</v>
      </c>
      <c r="B331" s="64">
        <f>VLOOKUP(A331,'ACS 2017 Cook Co'!$A$1:$F$388,2,FALSE) - VLOOKUP(A331,'ACS 2017 Chicago'!$A$1:$F$388,2,FALSE)</f>
        <v>142306</v>
      </c>
      <c r="C331" t="s">
        <v>3775</v>
      </c>
      <c r="D331" t="s">
        <v>3771</v>
      </c>
      <c r="E331" t="s">
        <v>3580</v>
      </c>
      <c r="F331" t="s">
        <v>3772</v>
      </c>
    </row>
    <row r="332" spans="1:6" x14ac:dyDescent="0.35">
      <c r="A332" s="189" t="s">
        <v>3355</v>
      </c>
      <c r="B332" s="64">
        <f>VLOOKUP(A332,'ACS 2017 Cook Co'!$A$1:$F$388,2,FALSE) - VLOOKUP(A332,'ACS 2017 Chicago'!$A$1:$F$388,2,FALSE)</f>
        <v>294097</v>
      </c>
      <c r="C332" t="s">
        <v>3776</v>
      </c>
      <c r="D332" t="s">
        <v>3771</v>
      </c>
      <c r="E332" t="s">
        <v>3580</v>
      </c>
      <c r="F332" t="s">
        <v>3772</v>
      </c>
    </row>
    <row r="333" spans="1:6" x14ac:dyDescent="0.35">
      <c r="A333" s="189" t="s">
        <v>3356</v>
      </c>
      <c r="B333" s="64">
        <f>VLOOKUP(A333,'ACS 2017 Cook Co'!$A$1:$F$388,2,FALSE) - VLOOKUP(A333,'ACS 2017 Chicago'!$A$1:$F$388,2,FALSE)</f>
        <v>148841</v>
      </c>
      <c r="C333" t="s">
        <v>3777</v>
      </c>
      <c r="D333" t="s">
        <v>3771</v>
      </c>
      <c r="E333" t="s">
        <v>3580</v>
      </c>
      <c r="F333" t="s">
        <v>3772</v>
      </c>
    </row>
    <row r="334" spans="1:6" x14ac:dyDescent="0.35">
      <c r="A334" s="189" t="s">
        <v>3357</v>
      </c>
      <c r="B334" s="64">
        <f>VLOOKUP(A334,'ACS 2017 Cook Co'!$A$1:$F$388,2,FALSE) - VLOOKUP(A334,'ACS 2017 Chicago'!$A$1:$F$388,2,FALSE)</f>
        <v>40279</v>
      </c>
      <c r="C334" t="s">
        <v>3778</v>
      </c>
      <c r="D334" t="s">
        <v>3771</v>
      </c>
      <c r="E334" t="s">
        <v>3580</v>
      </c>
      <c r="F334" t="s">
        <v>3772</v>
      </c>
    </row>
    <row r="335" spans="1:6" x14ac:dyDescent="0.35">
      <c r="A335" s="189" t="s">
        <v>3358</v>
      </c>
      <c r="B335" s="64">
        <f>VLOOKUP(A335,'ACS 2017 Cook Co'!$A$1:$F$388,2,FALSE) - VLOOKUP(A335,'ACS 2017 Chicago'!$A$1:$F$388,2,FALSE)</f>
        <v>263976</v>
      </c>
      <c r="C335" t="s">
        <v>3760</v>
      </c>
      <c r="D335" t="s">
        <v>3771</v>
      </c>
      <c r="E335" t="s">
        <v>3580</v>
      </c>
      <c r="F335" t="s">
        <v>3772</v>
      </c>
    </row>
    <row r="336" spans="1:6" x14ac:dyDescent="0.35">
      <c r="A336" s="189" t="s">
        <v>3359</v>
      </c>
      <c r="B336" s="64">
        <f>VLOOKUP(A336,'ACS 2017 Cook Co'!$A$1:$F$388,2,FALSE) - VLOOKUP(A336,'ACS 2017 Chicago'!$A$1:$F$388,2,FALSE)</f>
        <v>11529</v>
      </c>
      <c r="C336" t="s">
        <v>3779</v>
      </c>
      <c r="D336" t="s">
        <v>3771</v>
      </c>
      <c r="E336" t="s">
        <v>3580</v>
      </c>
      <c r="F336" t="s">
        <v>3772</v>
      </c>
    </row>
    <row r="337" spans="1:6" x14ac:dyDescent="0.35">
      <c r="A337" s="189" t="s">
        <v>3360</v>
      </c>
      <c r="B337" s="64">
        <f>VLOOKUP(A337,'ACS 2017 Cook Co'!$A$1:$F$388,2,FALSE) - VLOOKUP(A337,'ACS 2017 Chicago'!$A$1:$F$388,2,FALSE)</f>
        <v>72440</v>
      </c>
      <c r="C337" t="s">
        <v>3780</v>
      </c>
      <c r="D337" t="s">
        <v>3771</v>
      </c>
      <c r="E337" t="s">
        <v>3580</v>
      </c>
      <c r="F337" t="s">
        <v>3772</v>
      </c>
    </row>
    <row r="338" spans="1:6" x14ac:dyDescent="0.35">
      <c r="A338" s="189" t="s">
        <v>3361</v>
      </c>
      <c r="B338" s="64">
        <f>VLOOKUP(A338,'ACS 2017 Cook Co'!$A$1:$F$388,2,FALSE) - VLOOKUP(A338,'ACS 2017 Chicago'!$A$1:$F$388,2,FALSE)</f>
        <v>110913</v>
      </c>
      <c r="C338" t="s">
        <v>3781</v>
      </c>
      <c r="D338" t="s">
        <v>3771</v>
      </c>
      <c r="E338" t="s">
        <v>3580</v>
      </c>
      <c r="F338" t="s">
        <v>3772</v>
      </c>
    </row>
    <row r="339" spans="1:6" x14ac:dyDescent="0.35">
      <c r="A339" s="189" t="s">
        <v>3362</v>
      </c>
      <c r="B339" s="64">
        <f>VLOOKUP(A339,'ACS 2017 Cook Co'!$A$1:$F$388,2,FALSE) - VLOOKUP(A339,'ACS 2017 Chicago'!$A$1:$F$388,2,FALSE)</f>
        <v>53886</v>
      </c>
      <c r="C339" t="s">
        <v>3782</v>
      </c>
      <c r="D339" t="s">
        <v>3771</v>
      </c>
      <c r="E339" t="s">
        <v>3580</v>
      </c>
      <c r="F339" t="s">
        <v>3772</v>
      </c>
    </row>
    <row r="340" spans="1:6" x14ac:dyDescent="0.35">
      <c r="A340" s="189" t="s">
        <v>3363</v>
      </c>
      <c r="B340" s="64">
        <f>VLOOKUP(A340,'ACS 2017 Cook Co'!$A$1:$F$388,2,FALSE) - VLOOKUP(A340,'ACS 2017 Chicago'!$A$1:$F$388,2,FALSE)</f>
        <v>12186</v>
      </c>
      <c r="C340" t="s">
        <v>3783</v>
      </c>
      <c r="D340" t="s">
        <v>3771</v>
      </c>
      <c r="E340" t="s">
        <v>3580</v>
      </c>
      <c r="F340" t="s">
        <v>3772</v>
      </c>
    </row>
    <row r="341" spans="1:6" x14ac:dyDescent="0.35">
      <c r="A341" s="189" t="s">
        <v>3364</v>
      </c>
      <c r="B341" s="64">
        <f>VLOOKUP(A341,'ACS 2017 Cook Co'!$A$1:$F$388,2,FALSE) - VLOOKUP(A341,'ACS 2017 Chicago'!$A$1:$F$388,2,FALSE)</f>
        <v>3022</v>
      </c>
      <c r="C341" t="s">
        <v>3784</v>
      </c>
      <c r="D341" t="s">
        <v>3771</v>
      </c>
      <c r="E341" t="s">
        <v>3580</v>
      </c>
      <c r="F341" t="s">
        <v>3772</v>
      </c>
    </row>
    <row r="342" spans="1:6" x14ac:dyDescent="0.35">
      <c r="A342" s="189" t="s">
        <v>3366</v>
      </c>
      <c r="B342" s="64">
        <f>((VLOOKUP(A342,'ACS 2017 Cook Co'!$A$1:$F$388,2,FALSE) * VLOOKUP("b25063_001",'ACS 2017 Cook Co'!$A$1:$F$388,2,FALSE) - VLOOKUP(A342,'ACS 2017 Chicago'!$A$1:$F$388,2,FALSE) * VLOOKUP("b25063_001",'ACS 2017 Chicago'!$A$1:$F$388,2,FALSE))) / (VLOOKUP("b25063_001",'ACS 2017 Cook Co'!$A$1:$F$388,2,FALSE) - VLOOKUP("b25063_001",'ACS 2017 Chicago'!$A$1:$F$388,2,FALSE))</f>
        <v>961.55249719671485</v>
      </c>
      <c r="C342" t="s">
        <v>3785</v>
      </c>
      <c r="D342" t="s">
        <v>3786</v>
      </c>
      <c r="E342" t="s">
        <v>3580</v>
      </c>
      <c r="F342" t="s">
        <v>3787</v>
      </c>
    </row>
    <row r="343" spans="1:6" x14ac:dyDescent="0.35">
      <c r="A343" s="189" t="s">
        <v>3367</v>
      </c>
      <c r="B343" s="64">
        <f>VLOOKUP(A343,'ACS 2017 Cook Co'!$A$1:$F$388,2,FALSE) - VLOOKUP(A343,'ACS 2017 Chicago'!$A$1:$F$388,2,FALSE)</f>
        <v>263976</v>
      </c>
      <c r="C343" t="s">
        <v>26</v>
      </c>
      <c r="D343" t="s">
        <v>3788</v>
      </c>
      <c r="E343" t="s">
        <v>3580</v>
      </c>
      <c r="F343" t="s">
        <v>3789</v>
      </c>
    </row>
    <row r="344" spans="1:6" x14ac:dyDescent="0.35">
      <c r="A344" s="189" t="s">
        <v>3368</v>
      </c>
      <c r="B344" s="64">
        <f>VLOOKUP(A344,'ACS 2017 Cook Co'!$A$1:$F$388,2,FALSE) - VLOOKUP(A344,'ACS 2017 Chicago'!$A$1:$F$388,2,FALSE)</f>
        <v>253446</v>
      </c>
      <c r="C344" t="s">
        <v>3790</v>
      </c>
      <c r="D344" t="s">
        <v>3788</v>
      </c>
      <c r="E344" t="s">
        <v>3580</v>
      </c>
      <c r="F344" t="s">
        <v>3789</v>
      </c>
    </row>
    <row r="345" spans="1:6" x14ac:dyDescent="0.35">
      <c r="A345" s="189" t="s">
        <v>3369</v>
      </c>
      <c r="B345" s="64">
        <f>VLOOKUP(A345,'ACS 2017 Cook Co'!$A$1:$F$388,2,FALSE) - VLOOKUP(A345,'ACS 2017 Chicago'!$A$1:$F$388,2,FALSE)</f>
        <v>228</v>
      </c>
      <c r="C345" t="s">
        <v>3791</v>
      </c>
      <c r="D345" t="s">
        <v>3788</v>
      </c>
      <c r="E345" t="s">
        <v>3580</v>
      </c>
      <c r="F345" t="s">
        <v>3789</v>
      </c>
    </row>
    <row r="346" spans="1:6" x14ac:dyDescent="0.35">
      <c r="A346" s="189" t="s">
        <v>3370</v>
      </c>
      <c r="B346" s="64">
        <f>VLOOKUP(A346,'ACS 2017 Cook Co'!$A$1:$F$388,2,FALSE) - VLOOKUP(A346,'ACS 2017 Chicago'!$A$1:$F$388,2,FALSE)</f>
        <v>296</v>
      </c>
      <c r="C346" t="s">
        <v>3792</v>
      </c>
      <c r="D346" t="s">
        <v>3788</v>
      </c>
      <c r="E346" t="s">
        <v>3580</v>
      </c>
      <c r="F346" t="s">
        <v>3789</v>
      </c>
    </row>
    <row r="347" spans="1:6" x14ac:dyDescent="0.35">
      <c r="A347" s="189" t="s">
        <v>3371</v>
      </c>
      <c r="B347" s="64">
        <f>VLOOKUP(A347,'ACS 2017 Cook Co'!$A$1:$F$388,2,FALSE) - VLOOKUP(A347,'ACS 2017 Chicago'!$A$1:$F$388,2,FALSE)</f>
        <v>991</v>
      </c>
      <c r="C347" t="s">
        <v>3793</v>
      </c>
      <c r="D347" t="s">
        <v>3788</v>
      </c>
      <c r="E347" t="s">
        <v>3580</v>
      </c>
      <c r="F347" t="s">
        <v>3789</v>
      </c>
    </row>
    <row r="348" spans="1:6" x14ac:dyDescent="0.35">
      <c r="A348" s="189" t="s">
        <v>3372</v>
      </c>
      <c r="B348" s="64">
        <f>VLOOKUP(A348,'ACS 2017 Cook Co'!$A$1:$F$388,2,FALSE) - VLOOKUP(A348,'ACS 2017 Chicago'!$A$1:$F$388,2,FALSE)</f>
        <v>2401</v>
      </c>
      <c r="C348" t="s">
        <v>3794</v>
      </c>
      <c r="D348" t="s">
        <v>3788</v>
      </c>
      <c r="E348" t="s">
        <v>3580</v>
      </c>
      <c r="F348" t="s">
        <v>3789</v>
      </c>
    </row>
    <row r="349" spans="1:6" x14ac:dyDescent="0.35">
      <c r="A349" s="189" t="s">
        <v>3373</v>
      </c>
      <c r="B349" s="64">
        <f>VLOOKUP(A349,'ACS 2017 Cook Co'!$A$1:$F$388,2,FALSE) - VLOOKUP(A349,'ACS 2017 Chicago'!$A$1:$F$388,2,FALSE)</f>
        <v>1709</v>
      </c>
      <c r="C349" t="s">
        <v>3795</v>
      </c>
      <c r="D349" t="s">
        <v>3788</v>
      </c>
      <c r="E349" t="s">
        <v>3580</v>
      </c>
      <c r="F349" t="s">
        <v>3789</v>
      </c>
    </row>
    <row r="350" spans="1:6" x14ac:dyDescent="0.35">
      <c r="A350" s="189" t="s">
        <v>3374</v>
      </c>
      <c r="B350" s="64">
        <f>VLOOKUP(A350,'ACS 2017 Cook Co'!$A$1:$F$388,2,FALSE) - VLOOKUP(A350,'ACS 2017 Chicago'!$A$1:$F$388,2,FALSE)</f>
        <v>2122</v>
      </c>
      <c r="C350" t="s">
        <v>3796</v>
      </c>
      <c r="D350" t="s">
        <v>3788</v>
      </c>
      <c r="E350" t="s">
        <v>3580</v>
      </c>
      <c r="F350" t="s">
        <v>3789</v>
      </c>
    </row>
    <row r="351" spans="1:6" x14ac:dyDescent="0.35">
      <c r="A351" s="189" t="s">
        <v>3375</v>
      </c>
      <c r="B351" s="64">
        <f>VLOOKUP(A351,'ACS 2017 Cook Co'!$A$1:$F$388,2,FALSE) - VLOOKUP(A351,'ACS 2017 Chicago'!$A$1:$F$388,2,FALSE)</f>
        <v>1820</v>
      </c>
      <c r="C351" t="s">
        <v>3797</v>
      </c>
      <c r="D351" t="s">
        <v>3788</v>
      </c>
      <c r="E351" t="s">
        <v>3580</v>
      </c>
      <c r="F351" t="s">
        <v>3789</v>
      </c>
    </row>
    <row r="352" spans="1:6" x14ac:dyDescent="0.35">
      <c r="A352" s="189" t="s">
        <v>3376</v>
      </c>
      <c r="B352" s="64">
        <f>VLOOKUP(A352,'ACS 2017 Cook Co'!$A$1:$F$388,2,FALSE) - VLOOKUP(A352,'ACS 2017 Chicago'!$A$1:$F$388,2,FALSE)</f>
        <v>1375</v>
      </c>
      <c r="C352" t="s">
        <v>3798</v>
      </c>
      <c r="D352" t="s">
        <v>3788</v>
      </c>
      <c r="E352" t="s">
        <v>3580</v>
      </c>
      <c r="F352" t="s">
        <v>3789</v>
      </c>
    </row>
    <row r="353" spans="1:6" x14ac:dyDescent="0.35">
      <c r="A353" s="189" t="s">
        <v>3377</v>
      </c>
      <c r="B353" s="64">
        <f>VLOOKUP(A353,'ACS 2017 Cook Co'!$A$1:$F$388,2,FALSE) - VLOOKUP(A353,'ACS 2017 Chicago'!$A$1:$F$388,2,FALSE)</f>
        <v>1781</v>
      </c>
      <c r="C353" t="s">
        <v>3799</v>
      </c>
      <c r="D353" t="s">
        <v>3788</v>
      </c>
      <c r="E353" t="s">
        <v>3580</v>
      </c>
      <c r="F353" t="s">
        <v>3789</v>
      </c>
    </row>
    <row r="354" spans="1:6" x14ac:dyDescent="0.35">
      <c r="A354" s="189" t="s">
        <v>3378</v>
      </c>
      <c r="B354" s="64">
        <f>VLOOKUP(A354,'ACS 2017 Cook Co'!$A$1:$F$388,2,FALSE) - VLOOKUP(A354,'ACS 2017 Chicago'!$A$1:$F$388,2,FALSE)</f>
        <v>2444</v>
      </c>
      <c r="C354" t="s">
        <v>3800</v>
      </c>
      <c r="D354" t="s">
        <v>3788</v>
      </c>
      <c r="E354" t="s">
        <v>3580</v>
      </c>
      <c r="F354" t="s">
        <v>3789</v>
      </c>
    </row>
    <row r="355" spans="1:6" x14ac:dyDescent="0.35">
      <c r="A355" s="189" t="s">
        <v>3379</v>
      </c>
      <c r="B355" s="64">
        <f>VLOOKUP(A355,'ACS 2017 Cook Co'!$A$1:$F$388,2,FALSE) - VLOOKUP(A355,'ACS 2017 Chicago'!$A$1:$F$388,2,FALSE)</f>
        <v>3077</v>
      </c>
      <c r="C355" t="s">
        <v>3801</v>
      </c>
      <c r="D355" t="s">
        <v>3788</v>
      </c>
      <c r="E355" t="s">
        <v>3580</v>
      </c>
      <c r="F355" t="s">
        <v>3789</v>
      </c>
    </row>
    <row r="356" spans="1:6" x14ac:dyDescent="0.35">
      <c r="A356" s="189" t="s">
        <v>3380</v>
      </c>
      <c r="B356" s="64">
        <f>VLOOKUP(A356,'ACS 2017 Cook Co'!$A$1:$F$388,2,FALSE) - VLOOKUP(A356,'ACS 2017 Chicago'!$A$1:$F$388,2,FALSE)</f>
        <v>4359</v>
      </c>
      <c r="C356" t="s">
        <v>3802</v>
      </c>
      <c r="D356" t="s">
        <v>3788</v>
      </c>
      <c r="E356" t="s">
        <v>3580</v>
      </c>
      <c r="F356" t="s">
        <v>3789</v>
      </c>
    </row>
    <row r="357" spans="1:6" x14ac:dyDescent="0.35">
      <c r="A357" s="189" t="s">
        <v>3381</v>
      </c>
      <c r="B357" s="64">
        <f>VLOOKUP(A357,'ACS 2017 Cook Co'!$A$1:$F$388,2,FALSE) - VLOOKUP(A357,'ACS 2017 Chicago'!$A$1:$F$388,2,FALSE)</f>
        <v>5372</v>
      </c>
      <c r="C357" t="s">
        <v>3803</v>
      </c>
      <c r="D357" t="s">
        <v>3788</v>
      </c>
      <c r="E357" t="s">
        <v>3580</v>
      </c>
      <c r="F357" t="s">
        <v>3789</v>
      </c>
    </row>
    <row r="358" spans="1:6" x14ac:dyDescent="0.35">
      <c r="A358" s="189" t="s">
        <v>3382</v>
      </c>
      <c r="B358" s="64">
        <f>VLOOKUP(A358,'ACS 2017 Cook Co'!$A$1:$F$388,2,FALSE) - VLOOKUP(A358,'ACS 2017 Chicago'!$A$1:$F$388,2,FALSE)</f>
        <v>8669</v>
      </c>
      <c r="C358" t="s">
        <v>3804</v>
      </c>
      <c r="D358" t="s">
        <v>3788</v>
      </c>
      <c r="E358" t="s">
        <v>3580</v>
      </c>
      <c r="F358" t="s">
        <v>3789</v>
      </c>
    </row>
    <row r="359" spans="1:6" x14ac:dyDescent="0.35">
      <c r="A359" s="189" t="s">
        <v>3383</v>
      </c>
      <c r="B359" s="64">
        <f>VLOOKUP(A359,'ACS 2017 Cook Co'!$A$1:$F$388,2,FALSE) - VLOOKUP(A359,'ACS 2017 Chicago'!$A$1:$F$388,2,FALSE)</f>
        <v>11236</v>
      </c>
      <c r="C359" t="s">
        <v>3805</v>
      </c>
      <c r="D359" t="s">
        <v>3788</v>
      </c>
      <c r="E359" t="s">
        <v>3580</v>
      </c>
      <c r="F359" t="s">
        <v>3789</v>
      </c>
    </row>
    <row r="360" spans="1:6" x14ac:dyDescent="0.35">
      <c r="A360" s="189" t="s">
        <v>3384</v>
      </c>
      <c r="B360" s="64">
        <f>VLOOKUP(A360,'ACS 2017 Cook Co'!$A$1:$F$388,2,FALSE) - VLOOKUP(A360,'ACS 2017 Chicago'!$A$1:$F$388,2,FALSE)</f>
        <v>27649</v>
      </c>
      <c r="C360" t="s">
        <v>3806</v>
      </c>
      <c r="D360" t="s">
        <v>3788</v>
      </c>
      <c r="E360" t="s">
        <v>3580</v>
      </c>
      <c r="F360" t="s">
        <v>3789</v>
      </c>
    </row>
    <row r="361" spans="1:6" x14ac:dyDescent="0.35">
      <c r="A361" s="189" t="s">
        <v>3385</v>
      </c>
      <c r="B361" s="64">
        <f>VLOOKUP(A361,'ACS 2017 Cook Co'!$A$1:$F$388,2,FALSE) - VLOOKUP(A361,'ACS 2017 Chicago'!$A$1:$F$388,2,FALSE)</f>
        <v>34276</v>
      </c>
      <c r="C361" t="s">
        <v>3807</v>
      </c>
      <c r="D361" t="s">
        <v>3788</v>
      </c>
      <c r="E361" t="s">
        <v>3580</v>
      </c>
      <c r="F361" t="s">
        <v>3789</v>
      </c>
    </row>
    <row r="362" spans="1:6" x14ac:dyDescent="0.35">
      <c r="A362" s="189" t="s">
        <v>3386</v>
      </c>
      <c r="B362" s="64">
        <f>VLOOKUP(A362,'ACS 2017 Cook Co'!$A$1:$F$388,2,FALSE) - VLOOKUP(A362,'ACS 2017 Chicago'!$A$1:$F$388,2,FALSE)</f>
        <v>58991</v>
      </c>
      <c r="C362" t="s">
        <v>3808</v>
      </c>
      <c r="D362" t="s">
        <v>3788</v>
      </c>
      <c r="E362" t="s">
        <v>3580</v>
      </c>
      <c r="F362" t="s">
        <v>3789</v>
      </c>
    </row>
    <row r="363" spans="1:6" x14ac:dyDescent="0.35">
      <c r="A363" s="189" t="s">
        <v>3387</v>
      </c>
      <c r="B363" s="64">
        <f>VLOOKUP(A363,'ACS 2017 Cook Co'!$A$1:$F$388,2,FALSE) - VLOOKUP(A363,'ACS 2017 Chicago'!$A$1:$F$388,2,FALSE)</f>
        <v>35370</v>
      </c>
      <c r="C363" t="s">
        <v>3809</v>
      </c>
      <c r="D363" t="s">
        <v>3788</v>
      </c>
      <c r="E363" t="s">
        <v>3580</v>
      </c>
      <c r="F363" t="s">
        <v>3789</v>
      </c>
    </row>
    <row r="364" spans="1:6" x14ac:dyDescent="0.35">
      <c r="A364" s="189" t="s">
        <v>3388</v>
      </c>
      <c r="B364" s="64">
        <f>VLOOKUP(A364,'ACS 2017 Cook Co'!$A$1:$F$388,2,FALSE) - VLOOKUP(A364,'ACS 2017 Chicago'!$A$1:$F$388,2,FALSE)</f>
        <v>32269</v>
      </c>
      <c r="C364" t="s">
        <v>3810</v>
      </c>
      <c r="D364" t="s">
        <v>3788</v>
      </c>
      <c r="E364" t="s">
        <v>3580</v>
      </c>
      <c r="F364" t="s">
        <v>3789</v>
      </c>
    </row>
    <row r="365" spans="1:6" x14ac:dyDescent="0.35">
      <c r="A365" s="189" t="s">
        <v>3389</v>
      </c>
      <c r="B365" s="64">
        <f>VLOOKUP(A365,'ACS 2017 Cook Co'!$A$1:$F$388,2,FALSE) - VLOOKUP(A365,'ACS 2017 Chicago'!$A$1:$F$388,2,FALSE)</f>
        <v>11413</v>
      </c>
      <c r="C365" t="s">
        <v>3811</v>
      </c>
      <c r="D365" t="s">
        <v>3788</v>
      </c>
      <c r="E365" t="s">
        <v>3580</v>
      </c>
      <c r="F365" t="s">
        <v>3789</v>
      </c>
    </row>
    <row r="366" spans="1:6" x14ac:dyDescent="0.35">
      <c r="A366" s="189" t="s">
        <v>3390</v>
      </c>
      <c r="B366" s="64">
        <f>VLOOKUP(A366,'ACS 2017 Cook Co'!$A$1:$F$388,2,FALSE) - VLOOKUP(A366,'ACS 2017 Chicago'!$A$1:$F$388,2,FALSE)</f>
        <v>3063</v>
      </c>
      <c r="C366" t="s">
        <v>3812</v>
      </c>
      <c r="D366" t="s">
        <v>3788</v>
      </c>
      <c r="E366" t="s">
        <v>3580</v>
      </c>
      <c r="F366" t="s">
        <v>3789</v>
      </c>
    </row>
    <row r="367" spans="1:6" x14ac:dyDescent="0.35">
      <c r="A367" s="189" t="s">
        <v>3391</v>
      </c>
      <c r="B367" s="64">
        <f>VLOOKUP(A367,'ACS 2017 Cook Co'!$A$1:$F$388,2,FALSE) - VLOOKUP(A367,'ACS 2017 Chicago'!$A$1:$F$388,2,FALSE)</f>
        <v>1335</v>
      </c>
      <c r="C367" t="s">
        <v>3813</v>
      </c>
      <c r="D367" t="s">
        <v>3788</v>
      </c>
      <c r="E367" t="s">
        <v>3580</v>
      </c>
      <c r="F367" t="s">
        <v>3789</v>
      </c>
    </row>
    <row r="368" spans="1:6" x14ac:dyDescent="0.35">
      <c r="A368" s="189" t="s">
        <v>3392</v>
      </c>
      <c r="B368" s="64">
        <f>VLOOKUP(A368,'ACS 2017 Cook Co'!$A$1:$F$388,2,FALSE) - VLOOKUP(A368,'ACS 2017 Chicago'!$A$1:$F$388,2,FALSE)</f>
        <v>1200</v>
      </c>
      <c r="C368" t="s">
        <v>3814</v>
      </c>
      <c r="D368" t="s">
        <v>3788</v>
      </c>
      <c r="E368" t="s">
        <v>3580</v>
      </c>
      <c r="F368" t="s">
        <v>3789</v>
      </c>
    </row>
    <row r="369" spans="1:6" x14ac:dyDescent="0.35">
      <c r="A369" s="189" t="s">
        <v>3393</v>
      </c>
      <c r="B369" s="64">
        <f>VLOOKUP(A369,'ACS 2017 Cook Co'!$A$1:$F$388,2,FALSE) - VLOOKUP(A369,'ACS 2017 Chicago'!$A$1:$F$388,2,FALSE)</f>
        <v>10530</v>
      </c>
      <c r="C369" t="s">
        <v>3815</v>
      </c>
      <c r="D369" t="s">
        <v>3788</v>
      </c>
      <c r="E369" t="s">
        <v>3580</v>
      </c>
      <c r="F369" t="s">
        <v>3789</v>
      </c>
    </row>
    <row r="370" spans="1:6" x14ac:dyDescent="0.35">
      <c r="A370" s="189" t="s">
        <v>3365</v>
      </c>
      <c r="B370" s="64">
        <f>((VLOOKUP(A370,'ACS 2017 Cook Co'!$A$1:$F$388,2,FALSE) * VLOOKUP("b25123_002",'ACS 2017 Cook Co'!$A$1:$F$388,2,FALSE) - VLOOKUP(A370,'ACS 2017 Chicago'!$A$1:$F$388,2,FALSE) * VLOOKUP("b25123_002",'ACS 2017 Chicago'!$A$1:$F$388,2,FALSE))) / (VLOOKUP("b25123_002",'ACS 2017 Cook Co'!$A$1:$F$388,2,FALSE) - VLOOKUP("b25123_002",'ACS 2017 Chicago'!$A$1:$F$388,2,FALSE))</f>
        <v>222270.2567064522</v>
      </c>
      <c r="C370" t="s">
        <v>3816</v>
      </c>
      <c r="D370" t="s">
        <v>3817</v>
      </c>
      <c r="E370" t="s">
        <v>3580</v>
      </c>
      <c r="F370" t="s">
        <v>3818</v>
      </c>
    </row>
    <row r="371" spans="1:6" x14ac:dyDescent="0.35">
      <c r="A371" s="189" t="s">
        <v>3394</v>
      </c>
      <c r="B371" s="64">
        <f>VLOOKUP(A371,'ACS 2017 Cook Co'!$A$1:$F$388,2,FALSE) - VLOOKUP(A371,'ACS 2017 Chicago'!$A$1:$F$388,2,FALSE)</f>
        <v>909772</v>
      </c>
      <c r="C371" t="s">
        <v>26</v>
      </c>
      <c r="D371" t="s">
        <v>3819</v>
      </c>
      <c r="E371" t="s">
        <v>3580</v>
      </c>
      <c r="F371" t="s">
        <v>3820</v>
      </c>
    </row>
    <row r="372" spans="1:6" x14ac:dyDescent="0.35">
      <c r="A372" s="189" t="s">
        <v>3395</v>
      </c>
      <c r="B372" s="64">
        <f>VLOOKUP(A372,'ACS 2017 Cook Co'!$A$1:$F$388,2,FALSE) - VLOOKUP(A372,'ACS 2017 Chicago'!$A$1:$F$388,2,FALSE)</f>
        <v>645796</v>
      </c>
      <c r="C372" t="s">
        <v>3749</v>
      </c>
      <c r="D372" t="s">
        <v>3819</v>
      </c>
      <c r="E372" t="s">
        <v>3580</v>
      </c>
      <c r="F372" t="s">
        <v>3820</v>
      </c>
    </row>
    <row r="373" spans="1:6" x14ac:dyDescent="0.35">
      <c r="A373" s="189" t="s">
        <v>3396</v>
      </c>
      <c r="B373" s="64">
        <f>VLOOKUP(A373,'ACS 2017 Cook Co'!$A$1:$F$388,2,FALSE) - VLOOKUP(A373,'ACS 2017 Chicago'!$A$1:$F$388,2,FALSE)</f>
        <v>192715</v>
      </c>
      <c r="C373" t="s">
        <v>3821</v>
      </c>
      <c r="D373" t="s">
        <v>3819</v>
      </c>
      <c r="E373" t="s">
        <v>3580</v>
      </c>
      <c r="F373" t="s">
        <v>3820</v>
      </c>
    </row>
    <row r="374" spans="1:6" x14ac:dyDescent="0.35">
      <c r="A374" s="189" t="s">
        <v>3397</v>
      </c>
      <c r="B374" s="64">
        <f>VLOOKUP(A374,'ACS 2017 Cook Co'!$A$1:$F$388,2,FALSE) - VLOOKUP(A374,'ACS 2017 Chicago'!$A$1:$F$388,2,FALSE)</f>
        <v>4469</v>
      </c>
      <c r="C374" t="s">
        <v>3822</v>
      </c>
      <c r="D374" t="s">
        <v>3819</v>
      </c>
      <c r="E374" t="s">
        <v>3580</v>
      </c>
      <c r="F374" t="s">
        <v>3820</v>
      </c>
    </row>
    <row r="375" spans="1:6" x14ac:dyDescent="0.35">
      <c r="A375" s="189" t="s">
        <v>3398</v>
      </c>
      <c r="B375" s="64">
        <f>VLOOKUP(A375,'ACS 2017 Cook Co'!$A$1:$F$388,2,FALSE) - VLOOKUP(A375,'ACS 2017 Chicago'!$A$1:$F$388,2,FALSE)</f>
        <v>222</v>
      </c>
      <c r="C375" t="s">
        <v>3823</v>
      </c>
      <c r="D375" t="s">
        <v>3819</v>
      </c>
      <c r="E375" t="s">
        <v>3580</v>
      </c>
      <c r="F375" t="s">
        <v>3820</v>
      </c>
    </row>
    <row r="376" spans="1:6" x14ac:dyDescent="0.35">
      <c r="A376" s="189" t="s">
        <v>3399</v>
      </c>
      <c r="B376" s="64">
        <f>VLOOKUP(A376,'ACS 2017 Cook Co'!$A$1:$F$388,2,FALSE) - VLOOKUP(A376,'ACS 2017 Chicago'!$A$1:$F$388,2,FALSE)</f>
        <v>0</v>
      </c>
      <c r="C376" t="s">
        <v>3824</v>
      </c>
      <c r="D376" t="s">
        <v>3819</v>
      </c>
      <c r="E376" t="s">
        <v>3580</v>
      </c>
      <c r="F376" t="s">
        <v>3820</v>
      </c>
    </row>
    <row r="377" spans="1:6" x14ac:dyDescent="0.35">
      <c r="A377" s="189" t="s">
        <v>3400</v>
      </c>
      <c r="B377" s="64">
        <f>VLOOKUP(A377,'ACS 2017 Cook Co'!$A$1:$F$388,2,FALSE) - VLOOKUP(A377,'ACS 2017 Chicago'!$A$1:$F$388,2,FALSE)</f>
        <v>448390</v>
      </c>
      <c r="C377" t="s">
        <v>3825</v>
      </c>
      <c r="D377" t="s">
        <v>3819</v>
      </c>
      <c r="E377" t="s">
        <v>3580</v>
      </c>
      <c r="F377" t="s">
        <v>3820</v>
      </c>
    </row>
    <row r="378" spans="1:6" x14ac:dyDescent="0.35">
      <c r="A378" s="189" t="s">
        <v>3401</v>
      </c>
      <c r="B378" s="64">
        <f>VLOOKUP(A378,'ACS 2017 Cook Co'!$A$1:$F$388,2,FALSE) - VLOOKUP(A378,'ACS 2017 Chicago'!$A$1:$F$388,2,FALSE)</f>
        <v>263976</v>
      </c>
      <c r="C378" t="s">
        <v>3760</v>
      </c>
      <c r="D378" t="s">
        <v>3819</v>
      </c>
      <c r="E378" t="s">
        <v>3580</v>
      </c>
      <c r="F378" t="s">
        <v>3820</v>
      </c>
    </row>
    <row r="379" spans="1:6" x14ac:dyDescent="0.35">
      <c r="A379" s="189" t="s">
        <v>3402</v>
      </c>
      <c r="B379" s="64">
        <f>VLOOKUP(A379,'ACS 2017 Cook Co'!$A$1:$F$388,2,FALSE) - VLOOKUP(A379,'ACS 2017 Chicago'!$A$1:$F$388,2,FALSE)</f>
        <v>120291</v>
      </c>
      <c r="C379" t="s">
        <v>3826</v>
      </c>
      <c r="D379" t="s">
        <v>3819</v>
      </c>
      <c r="E379" t="s">
        <v>3580</v>
      </c>
      <c r="F379" t="s">
        <v>3820</v>
      </c>
    </row>
    <row r="380" spans="1:6" x14ac:dyDescent="0.35">
      <c r="A380" s="189" t="s">
        <v>3403</v>
      </c>
      <c r="B380" s="64">
        <f>VLOOKUP(A380,'ACS 2017 Cook Co'!$A$1:$F$388,2,FALSE) - VLOOKUP(A380,'ACS 2017 Chicago'!$A$1:$F$388,2,FALSE)</f>
        <v>10209</v>
      </c>
      <c r="C380" t="s">
        <v>3827</v>
      </c>
      <c r="D380" t="s">
        <v>3819</v>
      </c>
      <c r="E380" t="s">
        <v>3580</v>
      </c>
      <c r="F380" t="s">
        <v>3820</v>
      </c>
    </row>
    <row r="381" spans="1:6" x14ac:dyDescent="0.35">
      <c r="A381" s="189" t="s">
        <v>3404</v>
      </c>
      <c r="B381" s="64">
        <f>VLOOKUP(A381,'ACS 2017 Cook Co'!$A$1:$F$388,2,FALSE) - VLOOKUP(A381,'ACS 2017 Chicago'!$A$1:$F$388,2,FALSE)</f>
        <v>258</v>
      </c>
      <c r="C381" t="s">
        <v>3828</v>
      </c>
      <c r="D381" t="s">
        <v>3819</v>
      </c>
      <c r="E381" t="s">
        <v>3580</v>
      </c>
      <c r="F381" t="s">
        <v>3820</v>
      </c>
    </row>
    <row r="382" spans="1:6" x14ac:dyDescent="0.35">
      <c r="A382" s="189" t="s">
        <v>3405</v>
      </c>
      <c r="B382" s="64">
        <f>VLOOKUP(A382,'ACS 2017 Cook Co'!$A$1:$F$388,2,FALSE) - VLOOKUP(A382,'ACS 2017 Chicago'!$A$1:$F$388,2,FALSE)</f>
        <v>19</v>
      </c>
      <c r="C382" t="s">
        <v>3829</v>
      </c>
      <c r="D382" t="s">
        <v>3819</v>
      </c>
      <c r="E382" t="s">
        <v>3580</v>
      </c>
      <c r="F382" t="s">
        <v>3820</v>
      </c>
    </row>
    <row r="383" spans="1:6" x14ac:dyDescent="0.35">
      <c r="A383" s="189" t="s">
        <v>3406</v>
      </c>
      <c r="B383" s="64">
        <f>VLOOKUP(A383,'ACS 2017 Cook Co'!$A$1:$F$388,2,FALSE) - VLOOKUP(A383,'ACS 2017 Chicago'!$A$1:$F$388,2,FALSE)</f>
        <v>133199</v>
      </c>
      <c r="C383" t="s">
        <v>3830</v>
      </c>
      <c r="D383" t="s">
        <v>3819</v>
      </c>
      <c r="E383" t="s">
        <v>3580</v>
      </c>
      <c r="F383" t="s">
        <v>3820</v>
      </c>
    </row>
    <row r="384" spans="1:6" x14ac:dyDescent="0.35">
      <c r="A384" s="189" t="s">
        <v>3832</v>
      </c>
      <c r="B384" s="64">
        <f>VLOOKUP(A384,'ACS 2017 Cook Co'!$A$1:$F$388,2,FALSE) - VLOOKUP(A384,'ACS 2017 Chicago'!$A$1:$F$388,2,FALSE)</f>
        <v>465121</v>
      </c>
      <c r="C384" t="s">
        <v>3837</v>
      </c>
      <c r="D384" t="s">
        <v>3842</v>
      </c>
      <c r="E384" t="s">
        <v>3580</v>
      </c>
      <c r="F384" t="s">
        <v>3843</v>
      </c>
    </row>
    <row r="385" spans="1:6" x14ac:dyDescent="0.35">
      <c r="A385" s="189" t="s">
        <v>3833</v>
      </c>
      <c r="B385" s="64">
        <f>VLOOKUP(A385,'ACS 2017 Cook Co'!$A$1:$F$388,2,FALSE) - VLOOKUP(A385,'ACS 2017 Chicago'!$A$1:$F$388,2,FALSE)</f>
        <v>191969</v>
      </c>
      <c r="C385" t="s">
        <v>3838</v>
      </c>
      <c r="D385" t="s">
        <v>3842</v>
      </c>
      <c r="E385" t="s">
        <v>3580</v>
      </c>
      <c r="F385" t="s">
        <v>3843</v>
      </c>
    </row>
    <row r="386" spans="1:6" x14ac:dyDescent="0.35">
      <c r="A386" s="189" t="s">
        <v>3834</v>
      </c>
      <c r="B386" s="64">
        <f>VLOOKUP(A386,'ACS 2017 Cook Co'!$A$1:$F$388,2,FALSE) - VLOOKUP(A386,'ACS 2017 Chicago'!$A$1:$F$388,2,FALSE)</f>
        <v>302636</v>
      </c>
      <c r="C386" t="s">
        <v>3839</v>
      </c>
      <c r="D386" t="s">
        <v>3842</v>
      </c>
      <c r="E386" t="s">
        <v>3580</v>
      </c>
      <c r="F386" t="s">
        <v>3843</v>
      </c>
    </row>
    <row r="387" spans="1:6" x14ac:dyDescent="0.35">
      <c r="A387" s="189" t="s">
        <v>3835</v>
      </c>
      <c r="B387" s="64">
        <f>VLOOKUP(A387,'ACS 2017 Cook Co'!$A$1:$F$388,2,FALSE) - VLOOKUP(A387,'ACS 2017 Chicago'!$A$1:$F$388,2,FALSE)</f>
        <v>81674</v>
      </c>
      <c r="C387" t="s">
        <v>3840</v>
      </c>
      <c r="D387" t="s">
        <v>3842</v>
      </c>
      <c r="E387" t="s">
        <v>3580</v>
      </c>
      <c r="F387" t="s">
        <v>3843</v>
      </c>
    </row>
    <row r="388" spans="1:6" x14ac:dyDescent="0.35">
      <c r="A388" s="189" t="s">
        <v>3836</v>
      </c>
      <c r="B388" s="64">
        <f>VLOOKUP(A388,'ACS 2017 Cook Co'!$A$1:$F$388,2,FALSE) - VLOOKUP(A388,'ACS 2017 Chicago'!$A$1:$F$388,2,FALSE)</f>
        <v>166592</v>
      </c>
      <c r="C388" t="s">
        <v>3841</v>
      </c>
      <c r="D388" t="s">
        <v>3842</v>
      </c>
      <c r="E388" t="s">
        <v>3580</v>
      </c>
      <c r="F388" t="s">
        <v>3843</v>
      </c>
    </row>
    <row r="390" spans="1:6" x14ac:dyDescent="0.35">
      <c r="A390" s="189" t="s">
        <v>4094</v>
      </c>
      <c r="B390" s="189" t="str">
        <f>"=VLOOKUP("""&amp;A390&amp;""",'ACS 2017'!$A$1:$F$388,2,FALSE) "</f>
        <v xml:space="preserve">=VLOOKUP("b20004_002",'ACS 2017'!$A$1:$F$388,2,FALSE) </v>
      </c>
    </row>
    <row r="391" spans="1:6" x14ac:dyDescent="0.35">
      <c r="A391" s="189" t="s">
        <v>4095</v>
      </c>
      <c r="B391" s="189" t="str">
        <f t="shared" ref="B391:B394" si="0">"=VLOOKUP("""&amp;A391&amp;""",'ACS 2017'!$A$1:$F$388,2,FALSE) "</f>
        <v xml:space="preserve">=VLOOKUP("b20004_003",'ACS 2017'!$A$1:$F$388,2,FALSE) </v>
      </c>
    </row>
    <row r="392" spans="1:6" x14ac:dyDescent="0.35">
      <c r="A392" s="189" t="s">
        <v>4096</v>
      </c>
      <c r="B392" s="189" t="str">
        <f t="shared" si="0"/>
        <v xml:space="preserve">=VLOOKUP("b20004_004",'ACS 2017'!$A$1:$F$388,2,FALSE) </v>
      </c>
    </row>
    <row r="393" spans="1:6" x14ac:dyDescent="0.35">
      <c r="A393" s="189" t="s">
        <v>4097</v>
      </c>
      <c r="B393" s="189" t="str">
        <f t="shared" si="0"/>
        <v xml:space="preserve">=VLOOKUP("b20004_005",'ACS 2017'!$A$1:$F$388,2,FALSE) </v>
      </c>
    </row>
    <row r="394" spans="1:6" x14ac:dyDescent="0.35">
      <c r="A394" s="189" t="s">
        <v>4098</v>
      </c>
      <c r="B394" s="189" t="str">
        <f t="shared" si="0"/>
        <v xml:space="preserve">=VLOOKUP("b20004_006",'ACS 2017'!$A$1:$F$388,2,FALSE) </v>
      </c>
    </row>
    <row r="395" spans="1:6" x14ac:dyDescent="0.35">
      <c r="A395" s="189"/>
      <c r="B395" s="189"/>
    </row>
    <row r="396" spans="1:6" x14ac:dyDescent="0.35">
      <c r="A396" s="189"/>
      <c r="B396" s="189"/>
    </row>
    <row r="397" spans="1:6" x14ac:dyDescent="0.35">
      <c r="A397" s="189"/>
      <c r="B397" s="189"/>
    </row>
    <row r="398" spans="1:6" x14ac:dyDescent="0.35">
      <c r="A398" s="189"/>
      <c r="B398" s="189"/>
    </row>
    <row r="399" spans="1:6" x14ac:dyDescent="0.35">
      <c r="A399" s="189"/>
      <c r="B399" s="189"/>
    </row>
  </sheetData>
  <autoFilter ref="A1:F388" xr:uid="{00000000-0009-0000-0000-000005000000}"/>
  <sortState xmlns:xlrd2="http://schemas.microsoft.com/office/spreadsheetml/2017/richdata2" ref="A2:F388">
    <sortCondition ref="A2:A388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8"/>
  <sheetViews>
    <sheetView workbookViewId="0">
      <selection activeCell="B5" sqref="B5"/>
    </sheetView>
  </sheetViews>
  <sheetFormatPr defaultColWidth="9.1796875" defaultRowHeight="14.5" x14ac:dyDescent="0.35"/>
  <cols>
    <col min="1" max="1" width="11.1796875" style="195" bestFit="1" customWidth="1"/>
    <col min="2" max="2" width="13.26953125" style="195" bestFit="1" customWidth="1"/>
    <col min="3" max="3" width="77" style="195" bestFit="1" customWidth="1"/>
    <col min="4" max="4" width="95.1796875" style="195" bestFit="1" customWidth="1"/>
    <col min="5" max="16384" width="9.1796875" style="195"/>
  </cols>
  <sheetData>
    <row r="1" spans="1:6" x14ac:dyDescent="0.35">
      <c r="A1" s="195" t="s">
        <v>3831</v>
      </c>
      <c r="B1" s="195">
        <v>1714000</v>
      </c>
      <c r="C1" s="195" t="s">
        <v>3575</v>
      </c>
      <c r="D1" s="195" t="s">
        <v>3576</v>
      </c>
      <c r="E1" s="195" t="s">
        <v>3577</v>
      </c>
      <c r="F1" s="195" t="s">
        <v>3578</v>
      </c>
    </row>
    <row r="2" spans="1:6" x14ac:dyDescent="0.35">
      <c r="A2" s="195" t="s">
        <v>3336</v>
      </c>
      <c r="B2" s="196">
        <v>2703466</v>
      </c>
      <c r="C2" s="195" t="s">
        <v>26</v>
      </c>
      <c r="D2" s="195" t="s">
        <v>3579</v>
      </c>
      <c r="E2" s="195" t="s">
        <v>3580</v>
      </c>
      <c r="F2" s="195" t="s">
        <v>3581</v>
      </c>
    </row>
    <row r="3" spans="1:6" x14ac:dyDescent="0.35">
      <c r="A3" s="195" t="s">
        <v>3338</v>
      </c>
      <c r="B3" s="196">
        <v>46877</v>
      </c>
      <c r="C3" s="195" t="s">
        <v>3582</v>
      </c>
      <c r="D3" s="195" t="s">
        <v>3583</v>
      </c>
      <c r="E3" s="195" t="s">
        <v>3580</v>
      </c>
      <c r="F3" s="195" t="s">
        <v>3584</v>
      </c>
    </row>
    <row r="4" spans="1:6" x14ac:dyDescent="0.35">
      <c r="A4" s="195" t="s">
        <v>3337</v>
      </c>
      <c r="B4" s="196">
        <v>1033022</v>
      </c>
      <c r="C4" s="195" t="s">
        <v>26</v>
      </c>
      <c r="D4" s="195" t="s">
        <v>3733</v>
      </c>
      <c r="E4" s="195" t="s">
        <v>3580</v>
      </c>
      <c r="F4" s="195" t="s">
        <v>3734</v>
      </c>
    </row>
    <row r="5" spans="1:6" x14ac:dyDescent="0.35">
      <c r="A5" s="195" t="s">
        <v>4195</v>
      </c>
      <c r="B5" s="196">
        <v>493819</v>
      </c>
      <c r="C5" s="195" t="s">
        <v>3749</v>
      </c>
      <c r="D5" s="195" t="s">
        <v>3733</v>
      </c>
      <c r="E5" s="195" t="s">
        <v>3580</v>
      </c>
      <c r="F5" s="195" t="s">
        <v>3734</v>
      </c>
    </row>
    <row r="6" spans="1:6" x14ac:dyDescent="0.35">
      <c r="A6" s="195" t="s">
        <v>4194</v>
      </c>
      <c r="B6" s="196">
        <v>539203</v>
      </c>
      <c r="C6" s="195" t="s">
        <v>3760</v>
      </c>
      <c r="D6" s="195" t="s">
        <v>3733</v>
      </c>
      <c r="E6" s="195" t="s">
        <v>3580</v>
      </c>
      <c r="F6" s="195" t="s">
        <v>3734</v>
      </c>
    </row>
    <row r="7" spans="1:6" x14ac:dyDescent="0.35">
      <c r="A7" s="195" t="s">
        <v>3366</v>
      </c>
      <c r="B7" s="196">
        <v>760</v>
      </c>
      <c r="C7" s="195" t="s">
        <v>3785</v>
      </c>
      <c r="D7" s="195" t="s">
        <v>3786</v>
      </c>
      <c r="E7" s="195" t="s">
        <v>3580</v>
      </c>
      <c r="F7" s="195" t="s">
        <v>3787</v>
      </c>
    </row>
    <row r="8" spans="1:6" x14ac:dyDescent="0.35">
      <c r="A8" s="195" t="s">
        <v>3365</v>
      </c>
      <c r="B8" s="196">
        <v>269200</v>
      </c>
      <c r="C8" s="195" t="s">
        <v>3816</v>
      </c>
      <c r="D8" s="195" t="s">
        <v>3817</v>
      </c>
      <c r="E8" s="195" t="s">
        <v>3580</v>
      </c>
      <c r="F8" s="195" t="s">
        <v>3818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8"/>
  <sheetViews>
    <sheetView workbookViewId="0">
      <selection activeCell="B2" sqref="B2:B8"/>
    </sheetView>
  </sheetViews>
  <sheetFormatPr defaultColWidth="9.1796875" defaultRowHeight="14.5" x14ac:dyDescent="0.35"/>
  <cols>
    <col min="1" max="1" width="11.1796875" style="195" bestFit="1" customWidth="1"/>
    <col min="2" max="2" width="13.26953125" style="195" bestFit="1" customWidth="1"/>
    <col min="3" max="3" width="77" style="195" bestFit="1" customWidth="1"/>
    <col min="4" max="4" width="95.1796875" style="195" bestFit="1" customWidth="1"/>
    <col min="5" max="16384" width="9.1796875" style="195"/>
  </cols>
  <sheetData>
    <row r="1" spans="1:6" x14ac:dyDescent="0.35">
      <c r="A1" s="195" t="s">
        <v>3831</v>
      </c>
      <c r="B1" s="195">
        <v>17031</v>
      </c>
      <c r="C1" s="195" t="s">
        <v>3575</v>
      </c>
      <c r="D1" s="195" t="s">
        <v>3576</v>
      </c>
      <c r="E1" s="195" t="s">
        <v>3577</v>
      </c>
      <c r="F1" s="195" t="s">
        <v>3578</v>
      </c>
    </row>
    <row r="2" spans="1:6" x14ac:dyDescent="0.35">
      <c r="A2" s="195" t="s">
        <v>3336</v>
      </c>
      <c r="B2" s="196">
        <v>5172848</v>
      </c>
      <c r="C2" s="195" t="s">
        <v>26</v>
      </c>
      <c r="D2" s="195" t="s">
        <v>3579</v>
      </c>
      <c r="E2" s="195" t="s">
        <v>3580</v>
      </c>
      <c r="F2" s="195" t="s">
        <v>3581</v>
      </c>
    </row>
    <row r="3" spans="1:6" x14ac:dyDescent="0.35">
      <c r="A3" s="195" t="s">
        <v>3338</v>
      </c>
      <c r="B3" s="196">
        <v>53942</v>
      </c>
      <c r="C3" s="195" t="s">
        <v>3582</v>
      </c>
      <c r="D3" s="195" t="s">
        <v>3583</v>
      </c>
      <c r="E3" s="195" t="s">
        <v>3580</v>
      </c>
      <c r="F3" s="195" t="s">
        <v>3584</v>
      </c>
    </row>
    <row r="4" spans="1:6" x14ac:dyDescent="0.35">
      <c r="A4" s="195" t="s">
        <v>3337</v>
      </c>
      <c r="B4" s="196">
        <v>1936481</v>
      </c>
      <c r="C4" s="195" t="s">
        <v>26</v>
      </c>
      <c r="D4" s="195" t="s">
        <v>3733</v>
      </c>
      <c r="E4" s="195" t="s">
        <v>3580</v>
      </c>
      <c r="F4" s="195" t="s">
        <v>3734</v>
      </c>
    </row>
    <row r="5" spans="1:6" x14ac:dyDescent="0.35">
      <c r="A5" s="195" t="s">
        <v>4195</v>
      </c>
      <c r="B5" s="196">
        <v>1169991</v>
      </c>
      <c r="C5" s="195" t="s">
        <v>3749</v>
      </c>
      <c r="D5" s="195" t="s">
        <v>3733</v>
      </c>
      <c r="E5" s="195" t="s">
        <v>3580</v>
      </c>
      <c r="F5" s="195" t="s">
        <v>3734</v>
      </c>
    </row>
    <row r="6" spans="1:6" x14ac:dyDescent="0.35">
      <c r="A6" s="195" t="s">
        <v>4194</v>
      </c>
      <c r="B6" s="196">
        <v>766490</v>
      </c>
      <c r="C6" s="195" t="s">
        <v>3760</v>
      </c>
      <c r="D6" s="195" t="s">
        <v>3733</v>
      </c>
      <c r="E6" s="195" t="s">
        <v>3580</v>
      </c>
      <c r="F6" s="195" t="s">
        <v>3734</v>
      </c>
    </row>
    <row r="7" spans="1:6" x14ac:dyDescent="0.35">
      <c r="A7" s="195" t="s">
        <v>3366</v>
      </c>
      <c r="B7" s="196">
        <v>789</v>
      </c>
      <c r="C7" s="195" t="s">
        <v>3785</v>
      </c>
      <c r="D7" s="195" t="s">
        <v>3786</v>
      </c>
      <c r="E7" s="195" t="s">
        <v>3580</v>
      </c>
      <c r="F7" s="195" t="s">
        <v>3787</v>
      </c>
    </row>
    <row r="8" spans="1:6" x14ac:dyDescent="0.35">
      <c r="A8" s="195" t="s">
        <v>3365</v>
      </c>
      <c r="B8" s="196">
        <v>265800</v>
      </c>
      <c r="C8" s="195" t="s">
        <v>3816</v>
      </c>
      <c r="D8" s="195" t="s">
        <v>3817</v>
      </c>
      <c r="E8" s="195" t="s">
        <v>3580</v>
      </c>
      <c r="F8" s="195" t="s">
        <v>3818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6"/>
  <sheetViews>
    <sheetView workbookViewId="0">
      <selection activeCell="B3" sqref="B3"/>
    </sheetView>
  </sheetViews>
  <sheetFormatPr defaultRowHeight="14.5" x14ac:dyDescent="0.35"/>
  <cols>
    <col min="1" max="1" width="11.1796875" bestFit="1" customWidth="1"/>
    <col min="3" max="3" width="77" bestFit="1" customWidth="1"/>
    <col min="4" max="4" width="95.1796875" bestFit="1" customWidth="1"/>
  </cols>
  <sheetData>
    <row r="1" spans="1:6" x14ac:dyDescent="0.35">
      <c r="A1" s="189" t="s">
        <v>3831</v>
      </c>
      <c r="B1" s="189" t="s">
        <v>4174</v>
      </c>
      <c r="C1" s="189" t="s">
        <v>3575</v>
      </c>
      <c r="D1" s="189" t="s">
        <v>3576</v>
      </c>
      <c r="E1" s="189" t="s">
        <v>3577</v>
      </c>
      <c r="F1" s="189" t="s">
        <v>3578</v>
      </c>
    </row>
    <row r="2" spans="1:6" x14ac:dyDescent="0.35">
      <c r="A2" s="189" t="s">
        <v>3336</v>
      </c>
      <c r="B2" s="64">
        <f>VLOOKUP(A2,'ACS 2010 Cook Co'!$A$1:$F$390,2,FALSE) - VLOOKUP(A2,'ACS 2010 Chicago'!$A$1:$F$390,2,FALSE)</f>
        <v>2469382</v>
      </c>
      <c r="C2" s="189" t="s">
        <v>26</v>
      </c>
      <c r="D2" s="189" t="s">
        <v>3579</v>
      </c>
      <c r="E2" s="189" t="s">
        <v>3580</v>
      </c>
      <c r="F2" s="189" t="s">
        <v>3581</v>
      </c>
    </row>
    <row r="3" spans="1:6" x14ac:dyDescent="0.35">
      <c r="A3" s="189" t="s">
        <v>3338</v>
      </c>
      <c r="B3" s="64">
        <f>((VLOOKUP(A3,'ACS 2010 Cook Co'!$A$1:$F$390,2,FALSE) * VLOOKUP("b25003_001",'ACS 2010 Cook Co'!$A$1:$F$390,2,FALSE) - VLOOKUP(A3,'ACS 2010 Chicago'!$A$1:$F$390,2,FALSE) * VLOOKUP("b25003_001",'ACS 2010 Chicago'!$A$1:$F$390,2,FALSE))) / (VLOOKUP("b25003_001",'ACS 2010 Cook Co'!$A$1:$F$390,2,FALSE) - VLOOKUP("b25003_001",'ACS 2010 Chicago'!$A$1:$F$390,2,FALSE))</f>
        <v>62020.175578526527</v>
      </c>
      <c r="C3" s="189" t="s">
        <v>3582</v>
      </c>
      <c r="D3" s="189" t="s">
        <v>3583</v>
      </c>
      <c r="E3" s="189" t="s">
        <v>3580</v>
      </c>
      <c r="F3" s="189" t="s">
        <v>3584</v>
      </c>
    </row>
    <row r="4" spans="1:6" x14ac:dyDescent="0.35">
      <c r="A4" s="189" t="s">
        <v>3337</v>
      </c>
      <c r="B4" s="64">
        <f>VLOOKUP(A4,'ACS 2010 Cook Co'!$A$1:$F$390,2,FALSE) - VLOOKUP(A4,'ACS 2010 Chicago'!$A$1:$F$390,2,FALSE)</f>
        <v>903459</v>
      </c>
      <c r="C4" s="189" t="s">
        <v>26</v>
      </c>
      <c r="D4" s="189" t="s">
        <v>3733</v>
      </c>
      <c r="E4" s="189" t="s">
        <v>3580</v>
      </c>
      <c r="F4" s="189" t="s">
        <v>3734</v>
      </c>
    </row>
    <row r="5" spans="1:6" x14ac:dyDescent="0.35">
      <c r="A5" s="189" t="s">
        <v>3366</v>
      </c>
      <c r="B5" s="64">
        <f>((VLOOKUP(A5,'ACS 2010 Cook Co'!$A$1:$F$390,2,FALSE) * VLOOKUP("b25003_002",'ACS 2010 Cook Co'!$A$1:$F$390,2,FALSE) - VLOOKUP(A5,'ACS 2010 Chicago'!$A$1:$F$390,2,FALSE) * VLOOKUP("b25003_002",'ACS 2010 Chicago'!$A$1:$F$390,2,FALSE))) / (VLOOKUP("b25003_002",'ACS 2010 Cook Co'!$A$1:$F$390,2,FALSE) - VLOOKUP("b25003_002",'ACS 2010 Chicago'!$A$1:$F$390,2,FALSE))</f>
        <v>810.17915412054924</v>
      </c>
      <c r="C5" s="189" t="s">
        <v>3785</v>
      </c>
      <c r="D5" s="189" t="s">
        <v>3786</v>
      </c>
      <c r="E5" s="189" t="s">
        <v>3580</v>
      </c>
      <c r="F5" s="189" t="s">
        <v>3787</v>
      </c>
    </row>
    <row r="6" spans="1:6" x14ac:dyDescent="0.35">
      <c r="A6" s="189" t="s">
        <v>3365</v>
      </c>
      <c r="B6" s="64">
        <f>((VLOOKUP(A6,'ACS 2010 Cook Co'!$A$1:$F$390,2,FALSE) * VLOOKUP("b25003_003",'ACS 2010 Cook Co'!$A$1:$F$390,2,FALSE) - VLOOKUP(A6,'ACS 2010 Chicago'!$A$1:$F$390,2,FALSE) * VLOOKUP("b25003_003",'ACS 2010 Chicago'!$A$1:$F$390,2,FALSE))) / (VLOOKUP("b25003_003",'ACS 2010 Cook Co'!$A$1:$F$390,2,FALSE) - VLOOKUP("b25003_003",'ACS 2010 Chicago'!$A$1:$F$390,2,FALSE))</f>
        <v>257734.02966293716</v>
      </c>
      <c r="C6" s="189" t="s">
        <v>3816</v>
      </c>
      <c r="D6" s="189" t="s">
        <v>3817</v>
      </c>
      <c r="E6" s="189" t="s">
        <v>3580</v>
      </c>
      <c r="F6" s="189" t="s">
        <v>3818</v>
      </c>
    </row>
  </sheetData>
  <sortState xmlns:xlrd2="http://schemas.microsoft.com/office/spreadsheetml/2017/richdata2" ref="A2:F6">
    <sortCondition ref="A2:A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CHAS - Chicago</vt:lpstr>
      <vt:lpstr>CHAS - Cook Co</vt:lpstr>
      <vt:lpstr>CHAS</vt:lpstr>
      <vt:lpstr>ACS 2017 Chicago</vt:lpstr>
      <vt:lpstr>ACS 2017 Cook Co</vt:lpstr>
      <vt:lpstr>ACS 2017</vt:lpstr>
      <vt:lpstr>ACS 2010 Chicago</vt:lpstr>
      <vt:lpstr>ACS 2010 Cook Co</vt:lpstr>
      <vt:lpstr>ACS 2010</vt:lpstr>
      <vt:lpstr>LODES 2015 Chicago</vt:lpstr>
      <vt:lpstr>LODES 2015 Cook Co</vt:lpstr>
      <vt:lpstr>LODES 2015</vt:lpstr>
      <vt:lpstr>NA-10</vt:lpstr>
      <vt:lpstr>NA-15</vt:lpstr>
      <vt:lpstr>NA-20</vt:lpstr>
      <vt:lpstr>NA-25</vt:lpstr>
      <vt:lpstr>NA-35</vt:lpstr>
      <vt:lpstr>NA-40</vt:lpstr>
      <vt:lpstr>NA-45</vt:lpstr>
      <vt:lpstr>MA-10</vt:lpstr>
      <vt:lpstr>MA-15</vt:lpstr>
      <vt:lpstr>MA-20</vt:lpstr>
      <vt:lpstr>MA-25</vt:lpstr>
      <vt:lpstr>MA-30</vt:lpstr>
      <vt:lpstr>MA-35</vt:lpstr>
      <vt:lpstr>MA-45</vt:lpstr>
    </vt:vector>
  </TitlesOfParts>
  <Company>CMAP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Lindsay Broughel</dc:creator>
  <cp:lastModifiedBy>Drew Williams-Clark</cp:lastModifiedBy>
  <cp:lastPrinted>2019-01-09T18:57:57Z</cp:lastPrinted>
  <dcterms:created xsi:type="dcterms:W3CDTF">2014-05-14T18:56:51Z</dcterms:created>
  <dcterms:modified xsi:type="dcterms:W3CDTF">2020-06-26T20:20:12Z</dcterms:modified>
</cp:coreProperties>
</file>